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nold\Documents\2020 2021 Budget\supporting documents\"/>
    </mc:Choice>
  </mc:AlternateContent>
  <bookViews>
    <workbookView xWindow="0" yWindow="0" windowWidth="20490" windowHeight="68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 i="1" l="1"/>
  <c r="E62" i="1"/>
  <c r="A56" i="1"/>
  <c r="N54" i="1"/>
  <c r="J51" i="1"/>
  <c r="F51" i="1"/>
  <c r="B51" i="1"/>
  <c r="M50" i="1"/>
  <c r="A50" i="1"/>
  <c r="M49" i="1"/>
  <c r="A49" i="1"/>
  <c r="M48" i="1"/>
  <c r="A48" i="1"/>
  <c r="O45" i="1"/>
  <c r="O62" i="1" s="1"/>
  <c r="L45" i="1"/>
  <c r="L62" i="1" s="1"/>
  <c r="K45" i="1"/>
  <c r="K62" i="1" s="1"/>
  <c r="J45" i="1"/>
  <c r="J62" i="1" s="1"/>
  <c r="I45" i="1"/>
  <c r="I51" i="1" s="1"/>
  <c r="H45" i="1"/>
  <c r="H62" i="1" s="1"/>
  <c r="G45" i="1"/>
  <c r="G62" i="1" s="1"/>
  <c r="F45" i="1"/>
  <c r="F62" i="1" s="1"/>
  <c r="E45" i="1"/>
  <c r="E51" i="1" s="1"/>
  <c r="D45" i="1"/>
  <c r="D51" i="1" s="1"/>
  <c r="C45" i="1"/>
  <c r="C51" i="1" s="1"/>
  <c r="B45" i="1"/>
  <c r="P44" i="1"/>
  <c r="O44" i="1"/>
  <c r="N44" i="1"/>
  <c r="M44" i="1" s="1"/>
  <c r="M43" i="1"/>
  <c r="M42" i="1"/>
  <c r="P41" i="1"/>
  <c r="O41" i="1"/>
  <c r="N41" i="1"/>
  <c r="M41" i="1" s="1"/>
  <c r="P40" i="1"/>
  <c r="O40" i="1"/>
  <c r="N40" i="1"/>
  <c r="M40" i="1" s="1"/>
  <c r="M39" i="1"/>
  <c r="M38" i="1"/>
  <c r="P37" i="1"/>
  <c r="O37" i="1"/>
  <c r="N37" i="1"/>
  <c r="M37" i="1" s="1"/>
  <c r="P36" i="1"/>
  <c r="O36" i="1"/>
  <c r="N36" i="1"/>
  <c r="M36" i="1" s="1"/>
  <c r="P35" i="1"/>
  <c r="P45" i="1" s="1"/>
  <c r="O35" i="1"/>
  <c r="N35" i="1"/>
  <c r="N45" i="1" s="1"/>
  <c r="N32" i="1"/>
  <c r="J32" i="1"/>
  <c r="J53" i="1" s="1"/>
  <c r="J63" i="1" s="1"/>
  <c r="F32" i="1"/>
  <c r="F53" i="1" s="1"/>
  <c r="F63" i="1" s="1"/>
  <c r="B32" i="1"/>
  <c r="B53" i="1" s="1"/>
  <c r="B55" i="1" s="1"/>
  <c r="C54" i="1" s="1"/>
  <c r="M31" i="1"/>
  <c r="A31" i="1"/>
  <c r="M30" i="1"/>
  <c r="A30" i="1"/>
  <c r="M28" i="1"/>
  <c r="A28" i="1"/>
  <c r="M27" i="1"/>
  <c r="A27" i="1"/>
  <c r="M26" i="1"/>
  <c r="A26" i="1"/>
  <c r="M25" i="1"/>
  <c r="M24" i="1"/>
  <c r="A24" i="1"/>
  <c r="M23" i="1"/>
  <c r="A23" i="1"/>
  <c r="P20" i="1"/>
  <c r="P32" i="1" s="1"/>
  <c r="O20" i="1"/>
  <c r="O32" i="1" s="1"/>
  <c r="N20" i="1"/>
  <c r="L20" i="1"/>
  <c r="L32" i="1" s="1"/>
  <c r="K20" i="1"/>
  <c r="K32" i="1" s="1"/>
  <c r="J20" i="1"/>
  <c r="I20" i="1"/>
  <c r="I32" i="1" s="1"/>
  <c r="H20" i="1"/>
  <c r="H32" i="1" s="1"/>
  <c r="G20" i="1"/>
  <c r="G32" i="1" s="1"/>
  <c r="F20" i="1"/>
  <c r="E20" i="1"/>
  <c r="E32" i="1" s="1"/>
  <c r="D20" i="1"/>
  <c r="D32" i="1" s="1"/>
  <c r="C20" i="1"/>
  <c r="C32" i="1" s="1"/>
  <c r="B20" i="1"/>
  <c r="M19" i="1"/>
  <c r="A19" i="1"/>
  <c r="M18" i="1"/>
  <c r="M17" i="1"/>
  <c r="A17" i="1"/>
  <c r="M16" i="1"/>
  <c r="A16" i="1"/>
  <c r="M15" i="1"/>
  <c r="A15" i="1"/>
  <c r="M14" i="1"/>
  <c r="A14" i="1"/>
  <c r="M13" i="1"/>
  <c r="A13" i="1"/>
  <c r="M12" i="1"/>
  <c r="A12" i="1"/>
  <c r="M11" i="1"/>
  <c r="A11" i="1"/>
  <c r="M9" i="1"/>
  <c r="A9" i="1"/>
  <c r="M8" i="1"/>
  <c r="A8" i="1"/>
  <c r="M7" i="1"/>
  <c r="A7" i="1"/>
  <c r="M6" i="1"/>
  <c r="A6" i="1"/>
  <c r="M5" i="1"/>
  <c r="M20" i="1" s="1"/>
  <c r="M32" i="1" s="1"/>
  <c r="A5" i="1"/>
  <c r="P3" i="1"/>
  <c r="O3" i="1"/>
  <c r="N3" i="1"/>
  <c r="B2" i="1"/>
  <c r="A1" i="1"/>
  <c r="N53" i="1" l="1"/>
  <c r="C53" i="1"/>
  <c r="G53" i="1"/>
  <c r="G63" i="1" s="1"/>
  <c r="P53" i="1"/>
  <c r="P63" i="1" s="1"/>
  <c r="C55" i="1"/>
  <c r="D54" i="1" s="1"/>
  <c r="N62" i="1"/>
  <c r="N51" i="1"/>
  <c r="D53" i="1"/>
  <c r="H53" i="1"/>
  <c r="H63" i="1" s="1"/>
  <c r="E53" i="1"/>
  <c r="E63" i="1" s="1"/>
  <c r="I53" i="1"/>
  <c r="I63" i="1" s="1"/>
  <c r="P62" i="1"/>
  <c r="P51" i="1"/>
  <c r="G51" i="1"/>
  <c r="K51" i="1"/>
  <c r="K53" i="1" s="1"/>
  <c r="K63" i="1" s="1"/>
  <c r="O51" i="1"/>
  <c r="O53" i="1" s="1"/>
  <c r="O63" i="1" s="1"/>
  <c r="H51" i="1"/>
  <c r="L51" i="1"/>
  <c r="L53" i="1" s="1"/>
  <c r="L63" i="1" s="1"/>
  <c r="M35" i="1"/>
  <c r="M45" i="1" s="1"/>
  <c r="M51" i="1" l="1"/>
  <c r="M53" i="1" s="1"/>
  <c r="M63" i="1" s="1"/>
  <c r="M62" i="1"/>
  <c r="D55" i="1"/>
  <c r="E54" i="1" s="1"/>
  <c r="E55" i="1" s="1"/>
  <c r="F54" i="1" s="1"/>
  <c r="F55" i="1" s="1"/>
  <c r="G54" i="1" s="1"/>
  <c r="G55" i="1" s="1"/>
  <c r="H54" i="1" s="1"/>
  <c r="H55" i="1" s="1"/>
  <c r="I54" i="1" s="1"/>
  <c r="I55" i="1" s="1"/>
  <c r="J54" i="1" s="1"/>
  <c r="J55" i="1" s="1"/>
  <c r="K54" i="1" s="1"/>
  <c r="K55" i="1" s="1"/>
  <c r="L54" i="1" s="1"/>
  <c r="L55" i="1" s="1"/>
  <c r="M54" i="1" s="1"/>
  <c r="M55" i="1" s="1"/>
  <c r="N63" i="1"/>
  <c r="N55" i="1"/>
  <c r="O54" i="1" s="1"/>
  <c r="O55" i="1" s="1"/>
  <c r="P54" i="1" s="1"/>
  <c r="P55" i="1" s="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<sst xmlns="http://schemas.openxmlformats.org/spreadsheetml/2006/main" count="40" uniqueCount="39">
  <si>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</si>
  <si>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</si>
  <si>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</si>
  <si>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</si>
  <si>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</si>
  <si>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</si>
  <si>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</si>
  <si>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</si>
  <si>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</si>
  <si>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</si>
  <si>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</si>
  <si>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</si>
  <si>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</si>
  <si>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</si>
  <si>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</si>
  <si>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</si>
  <si>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Transfers and Subsidies - Operational</t>
  </si>
  <si>
    <t>Cash Receipts by Source</t>
  </si>
  <si>
    <t>Other Cash Flows by Source</t>
  </si>
  <si>
    <t>Proceeds on Disposal of Fixed and Intangible Assets</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</si>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</sst>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_);_(* \(#,##0,\);_(* &quot;–&quot;?_);_(@_)"/>
    <numFmt numFmtId="165" formatCode="#,###,;\(#,###,\)"/>
    <numFmt numFmtId="166" formatCode="_ * #,##0_ ;_ * \-#,##0_ ;_ * &quot;-&quot;??_ ;_ @_ "/>
  </numFmts>
  <fonts count="8" x14ac:knownFonts="1">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4">
    <fill>
      <patternFill patternType="none"/>
    </fill>
    <fill>
      <patternFill patternType="gray125"/>
    </fill>
    <fill>
      <patternFill patternType="solid">
        <fgColor rgb="FFFFFF99"/>
        <bgColor indexed="64"/>
      </patternFill>
    </fill>
    <fill>
      <patternFill patternType="solid">
        <fgColor theme="6" tint="0.39997558519241921"/>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1" xfId="0" applyNumberFormat="1" applyFont="1" applyBorder="1"/>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0" fontId="3" fillId="0" borderId="12" xfId="0" applyNumberFormat="1" applyFont="1" applyBorder="1" applyAlignment="1">
      <alignment horizontal="center"/>
    </xf>
    <xf numFmtId="164" fontId="4" fillId="0" borderId="15" xfId="0" applyNumberFormat="1" applyFont="1" applyBorder="1" applyAlignment="1">
      <alignment horizontal="center"/>
    </xf>
    <xf numFmtId="0" fontId="3" fillId="0" borderId="0" xfId="0" applyFont="1" applyFill="1"/>
    <xf numFmtId="0" fontId="3" fillId="0" borderId="11" xfId="0" applyNumberFormat="1" applyFont="1" applyBorder="1" applyAlignment="1">
      <alignment horizontal="left" indent="1"/>
    </xf>
    <xf numFmtId="164" fontId="3" fillId="2" borderId="16" xfId="0" applyNumberFormat="1" applyFont="1" applyFill="1" applyBorder="1" applyProtection="1">
      <protection locked="0"/>
    </xf>
    <xf numFmtId="164" fontId="3" fillId="2" borderId="17" xfId="0" applyNumberFormat="1" applyFont="1" applyFill="1" applyBorder="1" applyProtection="1">
      <protection locked="0"/>
    </xf>
    <xf numFmtId="164" fontId="3" fillId="0" borderId="18" xfId="0" applyNumberFormat="1" applyFont="1" applyBorder="1"/>
    <xf numFmtId="164" fontId="3" fillId="2" borderId="19" xfId="0" applyNumberFormat="1" applyFont="1" applyFill="1" applyBorder="1" applyProtection="1">
      <protection locked="0"/>
    </xf>
    <xf numFmtId="164" fontId="3" fillId="2" borderId="0" xfId="0" applyNumberFormat="1" applyFont="1" applyFill="1" applyBorder="1" applyProtection="1">
      <protection locked="0"/>
    </xf>
    <xf numFmtId="164" fontId="3" fillId="2" borderId="11" xfId="0" applyNumberFormat="1" applyFont="1" applyFill="1" applyBorder="1" applyProtection="1">
      <protection locked="0"/>
    </xf>
    <xf numFmtId="164" fontId="3" fillId="0" borderId="16" xfId="0" applyNumberFormat="1" applyFont="1" applyFill="1" applyBorder="1" applyProtection="1"/>
    <xf numFmtId="164" fontId="3" fillId="0" borderId="17" xfId="0" applyNumberFormat="1" applyFont="1" applyFill="1" applyBorder="1" applyProtection="1"/>
    <xf numFmtId="164" fontId="3" fillId="0" borderId="18" xfId="0" applyNumberFormat="1" applyFont="1" applyFill="1" applyBorder="1" applyProtection="1"/>
    <xf numFmtId="164" fontId="3" fillId="0" borderId="19" xfId="0" applyNumberFormat="1" applyFont="1" applyFill="1" applyBorder="1" applyProtection="1"/>
    <xf numFmtId="0" fontId="3" fillId="3" borderId="11" xfId="0" applyFont="1" applyFill="1" applyBorder="1" applyAlignment="1">
      <alignment horizontal="left" indent="1"/>
    </xf>
    <xf numFmtId="0" fontId="4" fillId="0" borderId="11" xfId="0" applyNumberFormat="1" applyFont="1" applyFill="1" applyBorder="1"/>
    <xf numFmtId="164" fontId="4" fillId="0" borderId="20" xfId="0" applyNumberFormat="1" applyFont="1" applyFill="1" applyBorder="1"/>
    <xf numFmtId="164" fontId="4" fillId="0" borderId="21" xfId="0" applyNumberFormat="1" applyFont="1" applyFill="1" applyBorder="1"/>
    <xf numFmtId="164" fontId="4" fillId="0" borderId="22" xfId="0" applyNumberFormat="1" applyFont="1" applyFill="1" applyBorder="1"/>
    <xf numFmtId="164" fontId="4" fillId="0" borderId="23" xfId="0" applyNumberFormat="1" applyFont="1" applyFill="1" applyBorder="1"/>
    <xf numFmtId="0" fontId="3" fillId="0" borderId="11" xfId="0" applyNumberFormat="1" applyFont="1" applyFill="1" applyBorder="1"/>
    <xf numFmtId="164" fontId="3" fillId="0" borderId="16" xfId="0" applyNumberFormat="1" applyFont="1" applyFill="1" applyBorder="1"/>
    <xf numFmtId="164" fontId="3" fillId="0" borderId="17" xfId="0" applyNumberFormat="1" applyFont="1" applyFill="1" applyBorder="1"/>
    <xf numFmtId="164" fontId="3" fillId="0" borderId="18" xfId="0" applyNumberFormat="1" applyFont="1" applyFill="1" applyBorder="1"/>
    <xf numFmtId="164" fontId="3" fillId="0" borderId="19" xfId="0" applyNumberFormat="1" applyFont="1" applyFill="1" applyBorder="1"/>
    <xf numFmtId="0" fontId="4" fillId="0" borderId="11" xfId="0" applyNumberFormat="1" applyFont="1" applyFill="1" applyBorder="1" applyAlignment="1">
      <alignment horizontal="left"/>
    </xf>
    <xf numFmtId="0" fontId="3" fillId="3" borderId="11" xfId="0" applyNumberFormat="1" applyFont="1" applyFill="1" applyBorder="1" applyAlignment="1">
      <alignment horizontal="left" wrapText="1" indent="1"/>
    </xf>
    <xf numFmtId="0" fontId="3" fillId="3" borderId="11" xfId="0" applyFont="1" applyFill="1" applyBorder="1" applyAlignment="1">
      <alignment horizontal="left" wrapText="1" indent="1"/>
    </xf>
    <xf numFmtId="0" fontId="3" fillId="0" borderId="11" xfId="0" applyNumberFormat="1" applyFont="1" applyFill="1" applyBorder="1" applyAlignment="1">
      <alignment horizontal="left" indent="1"/>
    </xf>
    <xf numFmtId="0" fontId="4" fillId="0" borderId="24" xfId="0" applyNumberFormat="1" applyFont="1" applyFill="1" applyBorder="1"/>
    <xf numFmtId="164" fontId="4" fillId="0" borderId="25" xfId="0" applyNumberFormat="1" applyFont="1" applyFill="1" applyBorder="1"/>
    <xf numFmtId="164" fontId="4" fillId="0" borderId="26" xfId="0" applyNumberFormat="1" applyFont="1" applyFill="1" applyBorder="1"/>
    <xf numFmtId="164" fontId="4" fillId="0" borderId="27" xfId="0" applyNumberFormat="1" applyFont="1" applyFill="1" applyBorder="1"/>
    <xf numFmtId="0" fontId="3" fillId="0" borderId="11" xfId="0" applyNumberFormat="1" applyFont="1" applyFill="1" applyBorder="1" applyAlignment="1"/>
    <xf numFmtId="0" fontId="5" fillId="0" borderId="11" xfId="0" applyNumberFormat="1" applyFont="1" applyFill="1" applyBorder="1"/>
    <xf numFmtId="164" fontId="3" fillId="0" borderId="16" xfId="1" applyNumberFormat="1" applyFont="1" applyFill="1" applyBorder="1"/>
    <xf numFmtId="165" fontId="3" fillId="0" borderId="0" xfId="0" applyNumberFormat="1" applyFont="1" applyFill="1"/>
    <xf numFmtId="164" fontId="4" fillId="0" borderId="28" xfId="0" applyNumberFormat="1" applyFont="1" applyFill="1" applyBorder="1"/>
    <xf numFmtId="0" fontId="6" fillId="0" borderId="0" xfId="0" applyFont="1" applyFill="1" applyAlignment="1">
      <alignment horizontal="center"/>
    </xf>
    <xf numFmtId="0" fontId="4" fillId="0" borderId="29" xfId="0" applyNumberFormat="1" applyFont="1" applyFill="1" applyBorder="1" applyAlignment="1">
      <alignment vertical="center" wrapText="1"/>
    </xf>
    <xf numFmtId="164" fontId="4" fillId="0" borderId="30" xfId="0" applyNumberFormat="1" applyFont="1" applyFill="1" applyBorder="1" applyAlignment="1">
      <alignment vertical="center"/>
    </xf>
    <xf numFmtId="164" fontId="4" fillId="0" borderId="31" xfId="0" applyNumberFormat="1" applyFont="1" applyFill="1" applyBorder="1" applyAlignment="1">
      <alignment vertical="center"/>
    </xf>
    <xf numFmtId="164" fontId="4" fillId="0" borderId="32" xfId="0" applyNumberFormat="1" applyFont="1" applyFill="1" applyBorder="1" applyAlignment="1">
      <alignment vertical="center"/>
    </xf>
    <xf numFmtId="164" fontId="4" fillId="0" borderId="33" xfId="0" applyNumberFormat="1" applyFont="1" applyFill="1" applyBorder="1" applyAlignment="1">
      <alignment vertical="center"/>
    </xf>
    <xf numFmtId="165" fontId="4" fillId="0" borderId="34" xfId="0" applyNumberFormat="1" applyFont="1" applyFill="1" applyBorder="1" applyAlignment="1">
      <alignment vertical="center"/>
    </xf>
    <xf numFmtId="165" fontId="4" fillId="0" borderId="35" xfId="0" applyNumberFormat="1" applyFont="1" applyFill="1" applyBorder="1" applyAlignment="1">
      <alignment vertical="center"/>
    </xf>
    <xf numFmtId="165" fontId="4" fillId="0" borderId="36"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37" xfId="0" applyNumberFormat="1" applyFont="1" applyFill="1" applyBorder="1" applyProtection="1">
      <protection locked="0"/>
    </xf>
    <xf numFmtId="164" fontId="3" fillId="0" borderId="21" xfId="0" applyNumberFormat="1" applyFont="1" applyFill="1" applyBorder="1"/>
    <xf numFmtId="164" fontId="3" fillId="0" borderId="22" xfId="0" applyNumberFormat="1" applyFont="1" applyFill="1" applyBorder="1"/>
    <xf numFmtId="164" fontId="3" fillId="0" borderId="20" xfId="0" applyNumberFormat="1" applyFont="1" applyFill="1" applyBorder="1"/>
    <xf numFmtId="164" fontId="3" fillId="0" borderId="23" xfId="0" applyNumberFormat="1" applyFont="1" applyFill="1" applyBorder="1"/>
    <xf numFmtId="0" fontId="3" fillId="0" borderId="38" xfId="0" applyNumberFormat="1" applyFont="1" applyFill="1" applyBorder="1"/>
    <xf numFmtId="164" fontId="3" fillId="0" borderId="6" xfId="0" applyNumberFormat="1" applyFont="1" applyFill="1" applyBorder="1"/>
    <xf numFmtId="164" fontId="3" fillId="0" borderId="39" xfId="0" applyNumberFormat="1" applyFont="1" applyFill="1" applyBorder="1"/>
    <xf numFmtId="164" fontId="3" fillId="0" borderId="9" xfId="0" applyNumberFormat="1" applyFont="1" applyFill="1" applyBorder="1"/>
    <xf numFmtId="164" fontId="3" fillId="0" borderId="40" xfId="0" applyNumberFormat="1" applyFont="1" applyFill="1" applyBorder="1"/>
    <xf numFmtId="164" fontId="3" fillId="0" borderId="41" xfId="0" applyNumberFormat="1" applyFont="1" applyFill="1" applyBorder="1"/>
    <xf numFmtId="0" fontId="7" fillId="0" borderId="0" xfId="0" applyFont="1" applyBorder="1" applyAlignment="1" applyProtection="1">
      <alignment horizontal="left"/>
    </xf>
    <xf numFmtId="0" fontId="6" fillId="0" borderId="0" xfId="0" applyFont="1" applyBorder="1" applyAlignment="1" applyProtection="1">
      <alignment horizontal="left" wrapText="1"/>
    </xf>
    <xf numFmtId="165" fontId="3" fillId="0" borderId="0" xfId="0" applyNumberFormat="1" applyFont="1" applyFill="1" applyBorder="1"/>
    <xf numFmtId="166" fontId="3" fillId="0" borderId="0" xfId="1" applyNumberFormat="1" applyFont="1"/>
    <xf numFmtId="165" fontId="3" fillId="0" borderId="0" xfId="0"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LIM333%20A1%20Schedule%20-%20mSCOA%20vs%206%204%20-%2010%20Dec%202019_Consoli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2020/21</v>
          </cell>
        </row>
        <row r="16">
          <cell r="B16" t="str">
            <v>Budget Year +1 2021/22</v>
          </cell>
        </row>
        <row r="17">
          <cell r="B17" t="str">
            <v>Budget Year +2 2022/23</v>
          </cell>
        </row>
        <row r="34">
          <cell r="B34" t="str">
            <v>References</v>
          </cell>
        </row>
        <row r="93">
          <cell r="B93" t="str">
            <v>LIM333 Greater Tzaneen</v>
          </cell>
        </row>
        <row r="142">
          <cell r="B142" t="str">
            <v>Supporting Table SA30 Consolidated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8">
          <cell r="A38" t="str">
            <v>Transfers and subsidies - capital (monetary allocations) (National / Provincial and District)</v>
          </cell>
        </row>
        <row r="39">
          <cell r="A39" t="str">
            <v>Transfers and subsidies - capital (monetary allocations) (National / Provincial Departmental Agencies, Households, Non-profit Institutions, Private Enterprises, Public Corporatons, Higher Educational Institutions)</v>
          </cell>
        </row>
      </sheetData>
      <sheetData sheetId="12"/>
      <sheetData sheetId="13"/>
      <sheetData sheetId="15"/>
      <sheetData sheetId="16">
        <row r="23">
          <cell r="A23" t="str">
            <v>Decrease (increase) in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0"/>
  <sheetViews>
    <sheetView tabSelected="1" topLeftCell="A49" workbookViewId="0">
      <selection sqref="A1:XFD1048576"/>
    </sheetView>
  </sheetViews>
  <sheetFormatPr defaultColWidth="9.140625" defaultRowHeight="12.75" x14ac:dyDescent="0.25"/>
  <cols>
    <col min="1" max="1" width="40.5703125" style="2" customWidth="1"/>
    <col min="2" max="2" width="9.140625" style="2" customWidth="1"/>
    <col min="3" max="13" width="8.28515625" style="2" customWidth="1"/>
    <col min="14" max="16" width="9.28515625" style="2" customWidth="1"/>
    <col min="17" max="17" width="9.7109375" style="2" hidden="1" customWidth="1"/>
    <col min="18" max="18" width="9.42578125" style="2" hidden="1" customWidth="1"/>
    <col min="19" max="19" width="9.7109375" style="2" hidden="1" customWidth="1"/>
    <col min="20" max="20" width="11.28515625" style="2" customWidth="1"/>
    <col min="21" max="21" width="9.42578125" style="2" bestFit="1" customWidth="1"/>
    <col min="22" max="25" width="9.7109375" style="2" bestFit="1" customWidth="1"/>
    <col min="26" max="27" width="9.42578125" style="2" bestFit="1" customWidth="1"/>
    <col min="28" max="28" width="9.7109375" style="2" bestFit="1" customWidth="1"/>
    <col min="29" max="16384" width="9.140625" style="2"/>
  </cols>
  <sheetData>
    <row r="1" spans="1:22" ht="13.5" x14ac:dyDescent="0.25">
      <c r="A1" s="1" t="str">
        <f>muni&amp;" - "&amp; TableA30</f>
        <v>LIM333 Greater Tzaneen - Supporting Table SA30 Consolidated budgeted monthly cash flow</v>
      </c>
      <c r="B1" s="1"/>
      <c r="C1" s="1"/>
      <c r="D1" s="1"/>
      <c r="E1" s="1"/>
      <c r="F1" s="1"/>
      <c r="G1" s="1"/>
      <c r="H1" s="1"/>
      <c r="I1" s="1"/>
      <c r="J1" s="1"/>
      <c r="K1" s="1"/>
      <c r="L1" s="1"/>
      <c r="M1" s="1"/>
      <c r="N1" s="1"/>
      <c r="O1" s="1"/>
      <c r="P1" s="1"/>
      <c r="Q1" s="1"/>
    </row>
    <row r="2" spans="1:22" x14ac:dyDescent="0.25">
      <c r="A2" s="3" t="s">
        <v>0</v>
      </c>
      <c r="B2" s="4" t="str">
        <f>Head9</f>
        <v>Budget Year 2020/21</v>
      </c>
      <c r="C2" s="5"/>
      <c r="D2" s="5"/>
      <c r="E2" s="5"/>
      <c r="F2" s="5"/>
      <c r="G2" s="5"/>
      <c r="H2" s="5"/>
      <c r="I2" s="5"/>
      <c r="J2" s="5"/>
      <c r="K2" s="5"/>
      <c r="L2" s="5"/>
      <c r="M2" s="5"/>
      <c r="N2" s="6" t="s">
        <v>1</v>
      </c>
      <c r="O2" s="7"/>
      <c r="P2" s="8"/>
    </row>
    <row r="3" spans="1:22" ht="25.5" x14ac:dyDescent="0.25">
      <c r="A3" s="9" t="s">
        <v>2</v>
      </c>
      <c r="B3" s="10" t="s">
        <v>3</v>
      </c>
      <c r="C3" s="11" t="s">
        <v>4</v>
      </c>
      <c r="D3" s="11" t="s">
        <v>5</v>
      </c>
      <c r="E3" s="11" t="s">
        <v>6</v>
      </c>
      <c r="F3" s="11" t="s">
        <v>7</v>
      </c>
      <c r="G3" s="11" t="s">
        <v>8</v>
      </c>
      <c r="H3" s="11" t="s">
        <v>9</v>
      </c>
      <c r="I3" s="11" t="s">
        <v>10</v>
      </c>
      <c r="J3" s="11" t="s">
        <v>11</v>
      </c>
      <c r="K3" s="11" t="s">
        <v>12</v>
      </c>
      <c r="L3" s="11" t="s">
        <v>13</v>
      </c>
      <c r="M3" s="12" t="s">
        <v>14</v>
      </c>
      <c r="N3" s="10" t="str">
        <f>Head9</f>
        <v>Budget Year 2020/21</v>
      </c>
      <c r="O3" s="11" t="str">
        <f>Head10</f>
        <v>Budget Year +1 2021/22</v>
      </c>
      <c r="P3" s="13" t="str">
        <f>Head11</f>
        <v>Budget Year +2 2022/23</v>
      </c>
    </row>
    <row r="4" spans="1:22" x14ac:dyDescent="0.25">
      <c r="A4" s="14" t="s">
        <v>15</v>
      </c>
      <c r="B4" s="15"/>
      <c r="C4" s="16"/>
      <c r="D4" s="16"/>
      <c r="E4" s="16"/>
      <c r="F4" s="16"/>
      <c r="G4" s="16"/>
      <c r="H4" s="16"/>
      <c r="I4" s="16"/>
      <c r="J4" s="16"/>
      <c r="K4" s="16"/>
      <c r="L4" s="16"/>
      <c r="M4" s="17"/>
      <c r="N4" s="18">
        <v>1</v>
      </c>
      <c r="O4" s="16"/>
      <c r="P4" s="19"/>
      <c r="T4" s="20"/>
    </row>
    <row r="5" spans="1:22" x14ac:dyDescent="0.25">
      <c r="A5" s="21" t="str">
        <f>'[1]A4-FinPerf RE'!A5</f>
        <v>Property rates</v>
      </c>
      <c r="B5" s="22">
        <v>8322460.462120723</v>
      </c>
      <c r="C5" s="23">
        <v>9510368.2331878785</v>
      </c>
      <c r="D5" s="23">
        <v>8768128.6289331391</v>
      </c>
      <c r="E5" s="23">
        <v>9750928.0784160774</v>
      </c>
      <c r="F5" s="23">
        <v>9679274.4754698463</v>
      </c>
      <c r="G5" s="23">
        <v>9548083.4644823261</v>
      </c>
      <c r="H5" s="23">
        <v>9382569.4839904811</v>
      </c>
      <c r="I5" s="23">
        <v>10467894.689052125</v>
      </c>
      <c r="J5" s="23">
        <v>11484937.963986782</v>
      </c>
      <c r="K5" s="23">
        <v>11222221.326071916</v>
      </c>
      <c r="L5" s="23">
        <v>9967775.1165297609</v>
      </c>
      <c r="M5" s="24">
        <f t="shared" ref="M5:M19" si="0">N5-SUM(B5:L5)</f>
        <v>11145358.077758938</v>
      </c>
      <c r="N5" s="22">
        <v>119250000</v>
      </c>
      <c r="O5" s="23">
        <v>124735500</v>
      </c>
      <c r="P5" s="25">
        <v>130473333</v>
      </c>
      <c r="Q5" s="26">
        <v>100001</v>
      </c>
      <c r="R5" s="27">
        <v>100001</v>
      </c>
      <c r="S5" s="27">
        <v>100001</v>
      </c>
      <c r="T5" s="20"/>
      <c r="U5" s="20"/>
      <c r="V5" s="20"/>
    </row>
    <row r="6" spans="1:22" x14ac:dyDescent="0.25">
      <c r="A6" s="21" t="str">
        <f>'[1]A4-FinPerf RE'!A6</f>
        <v>Service charges - electricity revenue</v>
      </c>
      <c r="B6" s="22">
        <v>37498652.862560637</v>
      </c>
      <c r="C6" s="23">
        <v>38202420.238356732</v>
      </c>
      <c r="D6" s="23">
        <v>45501200.870565347</v>
      </c>
      <c r="E6" s="23">
        <v>47243307.938458271</v>
      </c>
      <c r="F6" s="23">
        <v>50583403.785646453</v>
      </c>
      <c r="G6" s="23">
        <v>39854926.529345803</v>
      </c>
      <c r="H6" s="23">
        <v>42587171.595205463</v>
      </c>
      <c r="I6" s="23">
        <v>42884727.900013223</v>
      </c>
      <c r="J6" s="23">
        <v>40140269.340300694</v>
      </c>
      <c r="K6" s="23">
        <v>36869123.43436303</v>
      </c>
      <c r="L6" s="23">
        <v>49790973.576565951</v>
      </c>
      <c r="M6" s="24">
        <f t="shared" si="0"/>
        <v>42924721.928618431</v>
      </c>
      <c r="N6" s="22">
        <v>514080900</v>
      </c>
      <c r="O6" s="23">
        <v>537743021.39999998</v>
      </c>
      <c r="P6" s="25">
        <v>562494291.30000007</v>
      </c>
      <c r="T6" s="20"/>
      <c r="U6" s="20"/>
      <c r="V6" s="20"/>
    </row>
    <row r="7" spans="1:22" x14ac:dyDescent="0.25">
      <c r="A7" s="21" t="str">
        <f>'[1]A4-FinPerf RE'!A7</f>
        <v>Service charges - water revenue</v>
      </c>
      <c r="B7" s="22"/>
      <c r="C7" s="23"/>
      <c r="D7" s="23"/>
      <c r="E7" s="23"/>
      <c r="F7" s="23"/>
      <c r="G7" s="23"/>
      <c r="H7" s="23"/>
      <c r="I7" s="23"/>
      <c r="J7" s="23"/>
      <c r="K7" s="23"/>
      <c r="L7" s="23"/>
      <c r="M7" s="24">
        <f t="shared" si="0"/>
        <v>0</v>
      </c>
      <c r="N7" s="22">
        <v>0</v>
      </c>
      <c r="O7" s="23">
        <v>0</v>
      </c>
      <c r="P7" s="25">
        <v>0</v>
      </c>
      <c r="T7" s="20"/>
      <c r="U7" s="20"/>
      <c r="V7" s="20"/>
    </row>
    <row r="8" spans="1:22" x14ac:dyDescent="0.25">
      <c r="A8" s="21" t="str">
        <f>'[1]A4-FinPerf RE'!A8</f>
        <v>Service charges - sanitation revenue</v>
      </c>
      <c r="B8" s="22"/>
      <c r="C8" s="23"/>
      <c r="D8" s="23"/>
      <c r="E8" s="23"/>
      <c r="F8" s="23"/>
      <c r="G8" s="23"/>
      <c r="H8" s="23"/>
      <c r="I8" s="23"/>
      <c r="J8" s="23"/>
      <c r="K8" s="23"/>
      <c r="L8" s="23"/>
      <c r="M8" s="24">
        <f t="shared" si="0"/>
        <v>0</v>
      </c>
      <c r="N8" s="22">
        <v>0</v>
      </c>
      <c r="O8" s="23">
        <v>0</v>
      </c>
      <c r="P8" s="25">
        <v>0</v>
      </c>
      <c r="T8" s="20"/>
      <c r="U8" s="20"/>
      <c r="V8" s="20"/>
    </row>
    <row r="9" spans="1:22" x14ac:dyDescent="0.25">
      <c r="A9" s="21" t="str">
        <f>'[1]A4-FinPerf RE'!A9</f>
        <v>Service charges - refuse revenue</v>
      </c>
      <c r="B9" s="22">
        <v>2207320.5511300531</v>
      </c>
      <c r="C9" s="23">
        <v>2740066.2157951179</v>
      </c>
      <c r="D9" s="23">
        <v>2828545.5010919333</v>
      </c>
      <c r="E9" s="23">
        <v>2735311.2307494227</v>
      </c>
      <c r="F9" s="23">
        <v>3069478.3207776062</v>
      </c>
      <c r="G9" s="23">
        <v>2596717.6150084944</v>
      </c>
      <c r="H9" s="23">
        <v>2494600.0826332755</v>
      </c>
      <c r="I9" s="23">
        <v>2449700.9490701957</v>
      </c>
      <c r="J9" s="23">
        <v>2475917.7667469829</v>
      </c>
      <c r="K9" s="23">
        <v>2870136.695826984</v>
      </c>
      <c r="L9" s="23">
        <v>2527296.8738590116</v>
      </c>
      <c r="M9" s="24">
        <f t="shared" si="0"/>
        <v>2879426.9973109215</v>
      </c>
      <c r="N9" s="22">
        <v>31874518.800000001</v>
      </c>
      <c r="O9" s="23">
        <v>33340746.600000001</v>
      </c>
      <c r="P9" s="25">
        <v>34874421.300000004</v>
      </c>
      <c r="T9" s="20"/>
      <c r="U9" s="20"/>
      <c r="V9" s="20"/>
    </row>
    <row r="10" spans="1:22" x14ac:dyDescent="0.25">
      <c r="A10" s="21"/>
      <c r="B10" s="28"/>
      <c r="C10" s="29"/>
      <c r="D10" s="29"/>
      <c r="E10" s="29"/>
      <c r="F10" s="29"/>
      <c r="G10" s="29"/>
      <c r="H10" s="29"/>
      <c r="I10" s="29"/>
      <c r="J10" s="29"/>
      <c r="K10" s="29"/>
      <c r="L10" s="29"/>
      <c r="M10" s="30"/>
      <c r="N10" s="28">
        <v>2475000</v>
      </c>
      <c r="O10" s="29">
        <v>2588850</v>
      </c>
      <c r="P10" s="31">
        <v>2707937.1</v>
      </c>
      <c r="T10" s="20"/>
      <c r="U10" s="20"/>
      <c r="V10" s="20"/>
    </row>
    <row r="11" spans="1:22" x14ac:dyDescent="0.25">
      <c r="A11" s="21" t="str">
        <f>'[1]A4-FinPerf RE'!A11</f>
        <v>Rental of facilities and equipment</v>
      </c>
      <c r="B11" s="22">
        <v>97611.742618171629</v>
      </c>
      <c r="C11" s="23">
        <v>98684.550272704277</v>
      </c>
      <c r="D11" s="23">
        <v>93801.900050152864</v>
      </c>
      <c r="E11" s="23">
        <v>94976.486892422472</v>
      </c>
      <c r="F11" s="23">
        <v>98808.33577130409</v>
      </c>
      <c r="G11" s="23">
        <v>94957.231370418289</v>
      </c>
      <c r="H11" s="23">
        <v>96470.165242195013</v>
      </c>
      <c r="I11" s="23">
        <v>91491.23740962072</v>
      </c>
      <c r="J11" s="23">
        <v>96126.316634973147</v>
      </c>
      <c r="K11" s="23">
        <v>91491.23740962072</v>
      </c>
      <c r="L11" s="23">
        <v>95699.944362017864</v>
      </c>
      <c r="M11" s="24">
        <f t="shared" si="0"/>
        <v>2970.851966399001</v>
      </c>
      <c r="N11" s="22">
        <v>1053090</v>
      </c>
      <c r="O11" s="23">
        <v>1101532.5</v>
      </c>
      <c r="P11" s="25">
        <v>1152202.5</v>
      </c>
      <c r="T11" s="20"/>
      <c r="U11" s="20"/>
      <c r="V11" s="20"/>
    </row>
    <row r="12" spans="1:22" x14ac:dyDescent="0.25">
      <c r="A12" s="21" t="str">
        <f>'[1]A4-FinPerf RE'!A12</f>
        <v>Interest earned - external investments</v>
      </c>
      <c r="B12" s="22">
        <v>0</v>
      </c>
      <c r="C12" s="23">
        <v>0</v>
      </c>
      <c r="D12" s="23">
        <v>110106.34753955895</v>
      </c>
      <c r="E12" s="23">
        <v>0</v>
      </c>
      <c r="F12" s="23">
        <v>683509.03033713985</v>
      </c>
      <c r="G12" s="23">
        <v>84010.677395225372</v>
      </c>
      <c r="H12" s="23">
        <v>186843.06202505692</v>
      </c>
      <c r="I12" s="23">
        <v>120736.4093614265</v>
      </c>
      <c r="J12" s="23">
        <v>108801.50995525815</v>
      </c>
      <c r="K12" s="23">
        <v>1092501.2991047329</v>
      </c>
      <c r="L12" s="23">
        <v>42189.936425698615</v>
      </c>
      <c r="M12" s="24">
        <f t="shared" si="0"/>
        <v>582001.72785590263</v>
      </c>
      <c r="N12" s="22">
        <v>3010700</v>
      </c>
      <c r="O12" s="23">
        <v>3149192.1999999997</v>
      </c>
      <c r="P12" s="25">
        <v>3294055.0999999996</v>
      </c>
      <c r="T12" s="20"/>
      <c r="U12" s="20"/>
      <c r="V12" s="20"/>
    </row>
    <row r="13" spans="1:22" x14ac:dyDescent="0.25">
      <c r="A13" s="21" t="str">
        <f>'[1]A4-FinPerf RE'!A13</f>
        <v>Interest earned - outstanding debtors</v>
      </c>
      <c r="B13" s="22">
        <v>1296135.7295260332</v>
      </c>
      <c r="C13" s="23">
        <v>1347699.1426353748</v>
      </c>
      <c r="D13" s="23">
        <v>1292232.5285336934</v>
      </c>
      <c r="E13" s="23">
        <v>1447800.5680848914</v>
      </c>
      <c r="F13" s="23">
        <v>1417249.7603177286</v>
      </c>
      <c r="G13" s="23">
        <v>1415907.1599763951</v>
      </c>
      <c r="H13" s="23">
        <v>1453029.5694143032</v>
      </c>
      <c r="I13" s="23">
        <v>1385027.3521255974</v>
      </c>
      <c r="J13" s="23">
        <v>1463987.3722001798</v>
      </c>
      <c r="K13" s="23">
        <v>1518238.7859929155</v>
      </c>
      <c r="L13" s="23">
        <v>1216012.3091556714</v>
      </c>
      <c r="M13" s="24">
        <f t="shared" si="0"/>
        <v>1266679.7220372148</v>
      </c>
      <c r="N13" s="22">
        <v>16519999.999999998</v>
      </c>
      <c r="O13" s="23">
        <v>17279920</v>
      </c>
      <c r="P13" s="25">
        <v>18074796.599999998</v>
      </c>
      <c r="T13" s="20"/>
      <c r="U13" s="20"/>
      <c r="V13" s="20"/>
    </row>
    <row r="14" spans="1:22" x14ac:dyDescent="0.25">
      <c r="A14" s="21" t="str">
        <f>'[1]A4-FinPerf RE'!A14</f>
        <v>Dividends received</v>
      </c>
      <c r="B14" s="22"/>
      <c r="C14" s="23"/>
      <c r="D14" s="23"/>
      <c r="E14" s="23"/>
      <c r="F14" s="23"/>
      <c r="G14" s="23"/>
      <c r="H14" s="23"/>
      <c r="I14" s="23"/>
      <c r="J14" s="23"/>
      <c r="K14" s="23"/>
      <c r="L14" s="23"/>
      <c r="M14" s="24">
        <f t="shared" si="0"/>
        <v>0</v>
      </c>
      <c r="N14" s="22"/>
      <c r="O14" s="23"/>
      <c r="P14" s="25"/>
      <c r="T14" s="20"/>
      <c r="U14" s="20"/>
      <c r="V14" s="20"/>
    </row>
    <row r="15" spans="1:22" x14ac:dyDescent="0.25">
      <c r="A15" s="21" t="str">
        <f>'[1]A4-FinPerf RE'!A15</f>
        <v>Fines, penalties and forfeits</v>
      </c>
      <c r="B15" s="22">
        <v>258932.733714937</v>
      </c>
      <c r="C15" s="23">
        <v>297515.52193337702</v>
      </c>
      <c r="D15" s="23">
        <v>410919.187808363</v>
      </c>
      <c r="E15" s="23">
        <v>316416.974210991</v>
      </c>
      <c r="F15" s="23">
        <v>269698.40933119599</v>
      </c>
      <c r="G15" s="23">
        <v>654559.63959646598</v>
      </c>
      <c r="H15" s="23">
        <v>271380.58558210201</v>
      </c>
      <c r="I15" s="23">
        <v>204106.155022639</v>
      </c>
      <c r="J15" s="23">
        <v>404257.36603152199</v>
      </c>
      <c r="K15" s="23">
        <v>455359.93713460601</v>
      </c>
      <c r="L15" s="23">
        <v>253083.60624085899</v>
      </c>
      <c r="M15" s="24">
        <f t="shared" si="0"/>
        <v>254792.28339294204</v>
      </c>
      <c r="N15" s="22">
        <v>4051022.4</v>
      </c>
      <c r="O15" s="23">
        <v>4269777.3</v>
      </c>
      <c r="P15" s="25">
        <v>4500345.6000000006</v>
      </c>
      <c r="T15" s="20"/>
      <c r="U15" s="20"/>
      <c r="V15" s="20"/>
    </row>
    <row r="16" spans="1:22" x14ac:dyDescent="0.25">
      <c r="A16" s="21" t="str">
        <f>'[1]A4-FinPerf RE'!A16</f>
        <v>Licences and permits</v>
      </c>
      <c r="B16" s="22">
        <v>71075.973024653053</v>
      </c>
      <c r="C16" s="23">
        <v>69294.293402212716</v>
      </c>
      <c r="D16" s="23">
        <v>51404.866311337901</v>
      </c>
      <c r="E16" s="23">
        <v>119119.11227001279</v>
      </c>
      <c r="F16" s="23">
        <v>55811.632964844539</v>
      </c>
      <c r="G16" s="23">
        <v>25552.591231349052</v>
      </c>
      <c r="H16" s="23">
        <v>49864.795489611315</v>
      </c>
      <c r="I16" s="23">
        <v>59117.078520619652</v>
      </c>
      <c r="J16" s="23">
        <v>60919.509819194849</v>
      </c>
      <c r="K16" s="23">
        <v>74535.573888858984</v>
      </c>
      <c r="L16" s="23">
        <v>83122.321020969102</v>
      </c>
      <c r="M16" s="24">
        <f t="shared" si="0"/>
        <v>105482.25205633603</v>
      </c>
      <c r="N16" s="22">
        <v>825300</v>
      </c>
      <c r="O16" s="23">
        <v>863263.8</v>
      </c>
      <c r="P16" s="25">
        <v>902973.6</v>
      </c>
      <c r="T16" s="20"/>
      <c r="U16" s="20"/>
      <c r="V16" s="20"/>
    </row>
    <row r="17" spans="1:23" x14ac:dyDescent="0.25">
      <c r="A17" s="21" t="str">
        <f>'[1]A4-FinPerf RE'!A17</f>
        <v>Agency services</v>
      </c>
      <c r="B17" s="22">
        <v>4203268.2293629358</v>
      </c>
      <c r="C17" s="23">
        <v>3768997.1344091282</v>
      </c>
      <c r="D17" s="23">
        <v>5349758.7012814386</v>
      </c>
      <c r="E17" s="23">
        <v>4429927.5569574144</v>
      </c>
      <c r="F17" s="23">
        <v>4066137.4162616557</v>
      </c>
      <c r="G17" s="23">
        <v>3731063.6986433864</v>
      </c>
      <c r="H17" s="23">
        <v>4601518.5064972425</v>
      </c>
      <c r="I17" s="23">
        <v>4782939.9083071947</v>
      </c>
      <c r="J17" s="23">
        <v>3313799.9386041104</v>
      </c>
      <c r="K17" s="23">
        <v>5120211.6324445037</v>
      </c>
      <c r="L17" s="23">
        <v>5120211.6324445037</v>
      </c>
      <c r="M17" s="24">
        <f t="shared" si="0"/>
        <v>4310027.544786498</v>
      </c>
      <c r="N17" s="22">
        <v>52797861.899999999</v>
      </c>
      <c r="O17" s="23">
        <v>55226563.200000003</v>
      </c>
      <c r="P17" s="25">
        <v>57766985.100000001</v>
      </c>
      <c r="T17" s="20"/>
      <c r="U17" s="20"/>
      <c r="V17" s="20"/>
    </row>
    <row r="18" spans="1:23" x14ac:dyDescent="0.25">
      <c r="A18" s="32" t="s">
        <v>16</v>
      </c>
      <c r="B18" s="22">
        <v>170957759.13537475</v>
      </c>
      <c r="C18" s="23">
        <v>3647146.9252709732</v>
      </c>
      <c r="D18" s="23">
        <v>610211.64285576239</v>
      </c>
      <c r="E18" s="23">
        <v>1369363.8838464206</v>
      </c>
      <c r="F18" s="23">
        <v>135862279.10099599</v>
      </c>
      <c r="G18" s="23">
        <v>505436.67215544597</v>
      </c>
      <c r="H18" s="23">
        <v>342494.9914880718</v>
      </c>
      <c r="I18" s="23">
        <v>1298971.8224528038</v>
      </c>
      <c r="J18" s="23">
        <v>129370285.82556093</v>
      </c>
      <c r="K18" s="23">
        <v>0</v>
      </c>
      <c r="L18" s="23">
        <v>0</v>
      </c>
      <c r="M18" s="24">
        <f t="shared" si="0"/>
        <v>-1.1324882507324219E-6</v>
      </c>
      <c r="N18" s="22">
        <v>443963950</v>
      </c>
      <c r="O18" s="23">
        <v>470189500</v>
      </c>
      <c r="P18" s="25">
        <v>499398139</v>
      </c>
      <c r="T18" s="20"/>
      <c r="U18" s="20"/>
      <c r="V18" s="20"/>
    </row>
    <row r="19" spans="1:23" x14ac:dyDescent="0.25">
      <c r="A19" s="21" t="str">
        <f>'[1]A4-FinPerf RE'!A19</f>
        <v>Other revenue</v>
      </c>
      <c r="B19" s="22">
        <v>315115.95262099127</v>
      </c>
      <c r="C19" s="23">
        <v>239187.10048251835</v>
      </c>
      <c r="D19" s="23">
        <v>281731.93150196288</v>
      </c>
      <c r="E19" s="23">
        <v>267522.31036312011</v>
      </c>
      <c r="F19" s="23">
        <v>336705.4459025886</v>
      </c>
      <c r="G19" s="23">
        <v>220486.65305873231</v>
      </c>
      <c r="H19" s="23">
        <v>327596.38193954818</v>
      </c>
      <c r="I19" s="23">
        <v>274627.84943055984</v>
      </c>
      <c r="J19" s="23">
        <v>288405.55806080002</v>
      </c>
      <c r="K19" s="23">
        <v>224782.00964801662</v>
      </c>
      <c r="L19" s="23">
        <v>264798.46832821774</v>
      </c>
      <c r="M19" s="24">
        <f t="shared" si="0"/>
        <v>1434356.038662944</v>
      </c>
      <c r="N19" s="22">
        <v>4475315.7</v>
      </c>
      <c r="O19" s="23">
        <v>4681179.9000000004</v>
      </c>
      <c r="P19" s="25">
        <v>4896514.8000000007</v>
      </c>
      <c r="T19" s="20"/>
      <c r="U19" s="20"/>
      <c r="V19" s="20"/>
    </row>
    <row r="20" spans="1:23" x14ac:dyDescent="0.25">
      <c r="A20" s="33" t="s">
        <v>17</v>
      </c>
      <c r="B20" s="34">
        <f>SUM(B5:B9)+SUM(B11:B19)</f>
        <v>225228333.37205386</v>
      </c>
      <c r="C20" s="35">
        <f t="shared" ref="C20:P20" si="1">SUM(C5:C9)+SUM(C11:C19)</f>
        <v>59921379.355746008</v>
      </c>
      <c r="D20" s="35">
        <f t="shared" si="1"/>
        <v>65298042.106472693</v>
      </c>
      <c r="E20" s="35">
        <f t="shared" si="1"/>
        <v>67774674.140249044</v>
      </c>
      <c r="F20" s="35">
        <f t="shared" si="1"/>
        <v>206122355.71377635</v>
      </c>
      <c r="G20" s="35">
        <f t="shared" si="1"/>
        <v>58731701.932264045</v>
      </c>
      <c r="H20" s="35">
        <f t="shared" si="1"/>
        <v>61793539.219507352</v>
      </c>
      <c r="I20" s="35">
        <f t="shared" si="1"/>
        <v>64019341.350766003</v>
      </c>
      <c r="J20" s="35">
        <f t="shared" si="1"/>
        <v>189207708.46790141</v>
      </c>
      <c r="K20" s="35">
        <f t="shared" si="1"/>
        <v>59538601.931885183</v>
      </c>
      <c r="L20" s="35">
        <f t="shared" si="1"/>
        <v>69361163.784932658</v>
      </c>
      <c r="M20" s="36">
        <f t="shared" si="1"/>
        <v>64905817.424445391</v>
      </c>
      <c r="N20" s="34">
        <f t="shared" si="1"/>
        <v>1191902658.8</v>
      </c>
      <c r="O20" s="35">
        <f t="shared" si="1"/>
        <v>1252580196.9000001</v>
      </c>
      <c r="P20" s="37">
        <f t="shared" si="1"/>
        <v>1317828057.9000001</v>
      </c>
      <c r="Q20" s="20"/>
      <c r="R20" s="20"/>
      <c r="S20" s="20"/>
      <c r="T20" s="20"/>
      <c r="U20" s="20"/>
      <c r="V20" s="20"/>
      <c r="W20" s="20"/>
    </row>
    <row r="21" spans="1:23" x14ac:dyDescent="0.25">
      <c r="A21" s="38"/>
      <c r="B21" s="39"/>
      <c r="C21" s="40"/>
      <c r="D21" s="40"/>
      <c r="E21" s="40"/>
      <c r="F21" s="40"/>
      <c r="G21" s="40"/>
      <c r="H21" s="40"/>
      <c r="I21" s="40"/>
      <c r="J21" s="40"/>
      <c r="K21" s="40"/>
      <c r="L21" s="40"/>
      <c r="M21" s="41"/>
      <c r="N21" s="39"/>
      <c r="O21" s="40"/>
      <c r="P21" s="42"/>
      <c r="Q21" s="20"/>
      <c r="R21" s="20"/>
      <c r="S21" s="20"/>
      <c r="T21" s="20"/>
      <c r="U21" s="20"/>
      <c r="V21" s="20"/>
      <c r="W21" s="20"/>
    </row>
    <row r="22" spans="1:23" x14ac:dyDescent="0.25">
      <c r="A22" s="43" t="s">
        <v>18</v>
      </c>
      <c r="B22" s="39"/>
      <c r="C22" s="40"/>
      <c r="D22" s="40"/>
      <c r="E22" s="40"/>
      <c r="F22" s="40"/>
      <c r="G22" s="40"/>
      <c r="H22" s="40"/>
      <c r="I22" s="40"/>
      <c r="J22" s="40"/>
      <c r="K22" s="40"/>
      <c r="L22" s="40"/>
      <c r="M22" s="41"/>
      <c r="N22" s="39"/>
      <c r="O22" s="40"/>
      <c r="P22" s="42"/>
      <c r="Q22" s="20"/>
      <c r="R22" s="20"/>
      <c r="S22" s="20"/>
      <c r="T22" s="20"/>
      <c r="U22" s="20"/>
      <c r="V22" s="20"/>
      <c r="W22" s="20"/>
    </row>
    <row r="23" spans="1:23" ht="25.5" x14ac:dyDescent="0.25">
      <c r="A23" s="44" t="str">
        <f>'[1]A4-FinPerf RE'!A38</f>
        <v>Transfers and subsidies - capital (monetary allocations) (National / Provincial and District)</v>
      </c>
      <c r="B23" s="22">
        <v>38302751.438442335</v>
      </c>
      <c r="C23" s="23">
        <v>0</v>
      </c>
      <c r="D23" s="23">
        <v>0</v>
      </c>
      <c r="E23" s="23">
        <v>0</v>
      </c>
      <c r="F23" s="23">
        <v>0</v>
      </c>
      <c r="G23" s="23">
        <v>29958089.201607991</v>
      </c>
      <c r="H23" s="23">
        <v>0</v>
      </c>
      <c r="I23" s="23">
        <v>0</v>
      </c>
      <c r="J23" s="23">
        <v>20677209.359949678</v>
      </c>
      <c r="K23" s="23">
        <v>0</v>
      </c>
      <c r="L23" s="23">
        <v>0</v>
      </c>
      <c r="M23" s="41">
        <f t="shared" ref="M23:M31" si="2">N23-SUM(B23:L23)</f>
        <v>0</v>
      </c>
      <c r="N23" s="22">
        <v>88938050</v>
      </c>
      <c r="O23" s="23">
        <v>96829700</v>
      </c>
      <c r="P23" s="25">
        <v>102603800</v>
      </c>
      <c r="Q23" s="20"/>
      <c r="R23" s="20"/>
      <c r="S23" s="20"/>
      <c r="T23" s="20"/>
      <c r="U23" s="20"/>
      <c r="V23" s="20"/>
      <c r="W23" s="20"/>
    </row>
    <row r="24" spans="1:23" ht="51" x14ac:dyDescent="0.25">
      <c r="A24" s="44" t="str">
        <f>'[1]A4-FinPerf RE'!A39</f>
        <v>Transfers and subsidies - capital (monetary allocations) (National / Provincial Departmental Agencies, Households, Non-profit Institutions, Private Enterprises, Public Corporatons, Higher Educational Institutions)</v>
      </c>
      <c r="B24" s="22"/>
      <c r="C24" s="23"/>
      <c r="D24" s="23"/>
      <c r="E24" s="23"/>
      <c r="F24" s="23"/>
      <c r="G24" s="23"/>
      <c r="H24" s="23"/>
      <c r="I24" s="23"/>
      <c r="J24" s="23"/>
      <c r="K24" s="23"/>
      <c r="L24" s="23"/>
      <c r="M24" s="41">
        <f t="shared" si="2"/>
        <v>0</v>
      </c>
      <c r="N24" s="22"/>
      <c r="O24" s="23"/>
      <c r="P24" s="25"/>
      <c r="Q24" s="20"/>
      <c r="R24" s="20"/>
      <c r="S24" s="20"/>
      <c r="T24" s="20"/>
      <c r="U24" s="20"/>
      <c r="V24" s="20"/>
      <c r="W24" s="20"/>
    </row>
    <row r="25" spans="1:23" x14ac:dyDescent="0.25">
      <c r="A25" s="45" t="s">
        <v>19</v>
      </c>
      <c r="B25" s="22"/>
      <c r="C25" s="23"/>
      <c r="D25" s="23"/>
      <c r="E25" s="23"/>
      <c r="F25" s="23"/>
      <c r="G25" s="23"/>
      <c r="H25" s="23"/>
      <c r="I25" s="23"/>
      <c r="J25" s="23"/>
      <c r="K25" s="23"/>
      <c r="L25" s="23"/>
      <c r="M25" s="41">
        <f t="shared" si="2"/>
        <v>1500000</v>
      </c>
      <c r="N25" s="22">
        <v>1500000</v>
      </c>
      <c r="O25" s="23">
        <v>1569000</v>
      </c>
      <c r="P25" s="25">
        <v>1641174</v>
      </c>
      <c r="Q25" s="20"/>
      <c r="R25" s="20"/>
      <c r="S25" s="20"/>
      <c r="T25" s="20"/>
      <c r="U25" s="20"/>
      <c r="V25" s="20"/>
      <c r="W25" s="20"/>
    </row>
    <row r="26" spans="1:23" x14ac:dyDescent="0.25">
      <c r="A26" s="46" t="str">
        <f>'[1]A7-CFlow'!A31</f>
        <v>Short term loans</v>
      </c>
      <c r="B26" s="22"/>
      <c r="C26" s="23"/>
      <c r="D26" s="23"/>
      <c r="E26" s="23"/>
      <c r="F26" s="23"/>
      <c r="G26" s="23"/>
      <c r="H26" s="23"/>
      <c r="I26" s="23"/>
      <c r="J26" s="23"/>
      <c r="K26" s="23"/>
      <c r="L26" s="23"/>
      <c r="M26" s="41">
        <f t="shared" si="2"/>
        <v>0</v>
      </c>
      <c r="N26" s="22"/>
      <c r="O26" s="23"/>
      <c r="P26" s="25"/>
      <c r="Q26" s="20"/>
      <c r="R26" s="20"/>
      <c r="S26" s="20"/>
      <c r="T26" s="20"/>
      <c r="U26" s="20"/>
      <c r="V26" s="20"/>
      <c r="W26" s="20"/>
    </row>
    <row r="27" spans="1:23" x14ac:dyDescent="0.25">
      <c r="A27" s="46" t="str">
        <f>'[1]A7-CFlow'!A32</f>
        <v>Borrowing long term/refinancing</v>
      </c>
      <c r="B27" s="22">
        <v>0</v>
      </c>
      <c r="C27" s="23">
        <v>0</v>
      </c>
      <c r="D27" s="23">
        <v>0</v>
      </c>
      <c r="E27" s="23">
        <v>0</v>
      </c>
      <c r="F27" s="23">
        <v>0</v>
      </c>
      <c r="G27" s="23">
        <v>30000000</v>
      </c>
      <c r="H27" s="23">
        <v>0</v>
      </c>
      <c r="I27" s="23">
        <v>0</v>
      </c>
      <c r="J27" s="23">
        <v>0</v>
      </c>
      <c r="K27" s="23">
        <v>0</v>
      </c>
      <c r="L27" s="23">
        <v>0</v>
      </c>
      <c r="M27" s="41">
        <f t="shared" si="2"/>
        <v>0</v>
      </c>
      <c r="N27" s="22">
        <v>30000000</v>
      </c>
      <c r="O27" s="23">
        <v>0</v>
      </c>
      <c r="P27" s="25">
        <v>0</v>
      </c>
      <c r="Q27" s="20"/>
      <c r="R27" s="20"/>
      <c r="S27" s="20"/>
      <c r="T27" s="20"/>
      <c r="U27" s="20"/>
      <c r="V27" s="20"/>
      <c r="W27" s="20"/>
    </row>
    <row r="28" spans="1:23" x14ac:dyDescent="0.25">
      <c r="A28" s="46" t="str">
        <f>'[1]A7-CFlow'!A33</f>
        <v>Increase (decrease) in consumer deposits</v>
      </c>
      <c r="B28" s="22">
        <v>68464.56055215068</v>
      </c>
      <c r="C28" s="23">
        <v>54490.810140769863</v>
      </c>
      <c r="D28" s="23">
        <v>103064.92986345262</v>
      </c>
      <c r="E28" s="23">
        <v>80979.587749855637</v>
      </c>
      <c r="F28" s="23">
        <v>36849.802304353499</v>
      </c>
      <c r="G28" s="23">
        <v>48955.841685139996</v>
      </c>
      <c r="H28" s="23">
        <v>101865.23226715848</v>
      </c>
      <c r="I28" s="23">
        <v>49133.069739138002</v>
      </c>
      <c r="J28" s="23">
        <v>46815.472109933376</v>
      </c>
      <c r="K28" s="23">
        <v>52173.212511565245</v>
      </c>
      <c r="L28" s="23">
        <v>47074.497727315073</v>
      </c>
      <c r="M28" s="41">
        <f t="shared" si="2"/>
        <v>188327.98334916763</v>
      </c>
      <c r="N28" s="22">
        <v>878195</v>
      </c>
      <c r="O28" s="23">
        <v>918591</v>
      </c>
      <c r="P28" s="25">
        <v>960842</v>
      </c>
      <c r="Q28" s="20"/>
      <c r="R28" s="20"/>
      <c r="S28" s="20"/>
      <c r="T28" s="20"/>
      <c r="U28" s="20"/>
      <c r="V28" s="20"/>
      <c r="W28" s="20"/>
    </row>
    <row r="29" spans="1:23" x14ac:dyDescent="0.25">
      <c r="A29" s="46"/>
      <c r="B29" s="28"/>
      <c r="C29" s="29"/>
      <c r="D29" s="29"/>
      <c r="E29" s="29"/>
      <c r="F29" s="29"/>
      <c r="G29" s="29"/>
      <c r="H29" s="29"/>
      <c r="I29" s="29"/>
      <c r="J29" s="29"/>
      <c r="K29" s="29"/>
      <c r="L29" s="29"/>
      <c r="M29" s="30"/>
      <c r="N29" s="28"/>
      <c r="O29" s="29"/>
      <c r="P29" s="31"/>
      <c r="Q29" s="20"/>
      <c r="R29" s="20"/>
      <c r="S29" s="20"/>
      <c r="T29" s="20"/>
      <c r="U29" s="20"/>
      <c r="V29" s="20"/>
      <c r="W29" s="20"/>
    </row>
    <row r="30" spans="1:23" x14ac:dyDescent="0.25">
      <c r="A30" s="46" t="str">
        <f>'[1]A7-CFlow'!A23</f>
        <v>Decrease (increase) in non-current receivables</v>
      </c>
      <c r="B30" s="22"/>
      <c r="C30" s="23"/>
      <c r="D30" s="23"/>
      <c r="E30" s="23"/>
      <c r="F30" s="23"/>
      <c r="G30" s="23"/>
      <c r="H30" s="23"/>
      <c r="I30" s="23"/>
      <c r="J30" s="23"/>
      <c r="K30" s="23"/>
      <c r="L30" s="23"/>
      <c r="M30" s="41">
        <f t="shared" si="2"/>
        <v>0</v>
      </c>
      <c r="N30" s="22"/>
      <c r="O30" s="23"/>
      <c r="P30" s="25"/>
      <c r="Q30" s="20"/>
      <c r="R30" s="20"/>
      <c r="S30" s="20"/>
      <c r="T30" s="20"/>
      <c r="U30" s="20"/>
      <c r="V30" s="20"/>
      <c r="W30" s="20"/>
    </row>
    <row r="31" spans="1:23" x14ac:dyDescent="0.25">
      <c r="A31" s="46" t="str">
        <f>'[1]A7-CFlow'!A24</f>
        <v>Decrease (increase) in non-current investments</v>
      </c>
      <c r="B31" s="22"/>
      <c r="C31" s="23"/>
      <c r="D31" s="23"/>
      <c r="E31" s="23"/>
      <c r="F31" s="23"/>
      <c r="G31" s="23"/>
      <c r="H31" s="23"/>
      <c r="I31" s="23"/>
      <c r="J31" s="23"/>
      <c r="K31" s="23"/>
      <c r="L31" s="23"/>
      <c r="M31" s="41">
        <f t="shared" si="2"/>
        <v>-1262784</v>
      </c>
      <c r="N31" s="22">
        <v>-1262784</v>
      </c>
      <c r="O31" s="23">
        <v>-1262784</v>
      </c>
      <c r="P31" s="25">
        <v>-1262784</v>
      </c>
      <c r="Q31" s="20"/>
      <c r="R31" s="20"/>
      <c r="S31" s="20"/>
      <c r="T31" s="20"/>
      <c r="U31" s="20"/>
      <c r="V31" s="20"/>
      <c r="W31" s="20"/>
    </row>
    <row r="32" spans="1:23" x14ac:dyDescent="0.25">
      <c r="A32" s="47" t="s">
        <v>20</v>
      </c>
      <c r="B32" s="48">
        <f>SUM(B20:B28)+SUM(B30:B31)</f>
        <v>263599549.37104836</v>
      </c>
      <c r="C32" s="49">
        <f t="shared" ref="C32:L32" si="3">SUM(C20:C28)+SUM(C30:C31)</f>
        <v>59975870.165886775</v>
      </c>
      <c r="D32" s="49">
        <f t="shared" si="3"/>
        <v>65401107.036336146</v>
      </c>
      <c r="E32" s="49">
        <f t="shared" si="3"/>
        <v>67855653.727998897</v>
      </c>
      <c r="F32" s="49">
        <f t="shared" si="3"/>
        <v>206159205.51608071</v>
      </c>
      <c r="G32" s="49">
        <f t="shared" si="3"/>
        <v>118738746.97555718</v>
      </c>
      <c r="H32" s="49">
        <f t="shared" si="3"/>
        <v>61895404.451774508</v>
      </c>
      <c r="I32" s="49">
        <f t="shared" si="3"/>
        <v>64068474.420505144</v>
      </c>
      <c r="J32" s="49">
        <f t="shared" si="3"/>
        <v>209931733.29996103</v>
      </c>
      <c r="K32" s="49">
        <f t="shared" si="3"/>
        <v>59590775.144396745</v>
      </c>
      <c r="L32" s="49">
        <f t="shared" si="3"/>
        <v>69408238.282659978</v>
      </c>
      <c r="M32" s="48">
        <f>SUM(M20:M28)+SUM(M30:M31)</f>
        <v>65331361.407794558</v>
      </c>
      <c r="N32" s="48">
        <f t="shared" ref="N32:P32" si="4">SUM(N20:N28)+SUM(N30:N31)</f>
        <v>1311956119.8</v>
      </c>
      <c r="O32" s="49">
        <f t="shared" si="4"/>
        <v>1350634703.9000001</v>
      </c>
      <c r="P32" s="50">
        <f t="shared" si="4"/>
        <v>1421771089.9000001</v>
      </c>
      <c r="Q32" s="20"/>
      <c r="R32" s="20"/>
      <c r="S32" s="20"/>
      <c r="T32" s="20"/>
      <c r="U32" s="20"/>
      <c r="V32" s="20"/>
      <c r="W32" s="20"/>
    </row>
    <row r="33" spans="1:23" x14ac:dyDescent="0.25">
      <c r="A33" s="51"/>
      <c r="B33" s="39"/>
      <c r="C33" s="40"/>
      <c r="D33" s="40"/>
      <c r="E33" s="40"/>
      <c r="F33" s="40"/>
      <c r="G33" s="40"/>
      <c r="H33" s="40"/>
      <c r="I33" s="40"/>
      <c r="J33" s="40"/>
      <c r="K33" s="40"/>
      <c r="L33" s="40"/>
      <c r="M33" s="41"/>
      <c r="N33" s="39"/>
      <c r="O33" s="40"/>
      <c r="P33" s="42"/>
      <c r="Q33" s="20"/>
      <c r="R33" s="20"/>
      <c r="S33" s="20"/>
      <c r="T33" s="20"/>
      <c r="U33" s="20"/>
      <c r="V33" s="20"/>
      <c r="W33" s="20"/>
    </row>
    <row r="34" spans="1:23" x14ac:dyDescent="0.25">
      <c r="A34" s="52" t="s">
        <v>21</v>
      </c>
      <c r="B34" s="39"/>
      <c r="C34" s="40"/>
      <c r="D34" s="40"/>
      <c r="E34" s="40"/>
      <c r="F34" s="40"/>
      <c r="G34" s="40"/>
      <c r="H34" s="40"/>
      <c r="I34" s="40"/>
      <c r="J34" s="40"/>
      <c r="K34" s="40"/>
      <c r="L34" s="40"/>
      <c r="M34" s="41"/>
      <c r="N34" s="53"/>
      <c r="O34" s="40"/>
      <c r="P34" s="42"/>
      <c r="Q34" s="20"/>
      <c r="R34" s="20"/>
      <c r="S34" s="20"/>
      <c r="T34" s="20"/>
      <c r="U34" s="20"/>
      <c r="V34" s="20"/>
      <c r="W34" s="20"/>
    </row>
    <row r="35" spans="1:23" x14ac:dyDescent="0.25">
      <c r="A35" s="46" t="s">
        <v>22</v>
      </c>
      <c r="B35" s="22">
        <v>29054049.095327642</v>
      </c>
      <c r="C35" s="23">
        <v>25531362.286008738</v>
      </c>
      <c r="D35" s="23">
        <v>27124756.215885915</v>
      </c>
      <c r="E35" s="23">
        <v>29753585.403943632</v>
      </c>
      <c r="F35" s="23">
        <v>26526355.735333364</v>
      </c>
      <c r="G35" s="23">
        <v>27816638.906731416</v>
      </c>
      <c r="H35" s="23">
        <v>31654824.092407666</v>
      </c>
      <c r="I35" s="23">
        <v>27751190.470509429</v>
      </c>
      <c r="J35" s="23">
        <v>26923235.901926804</v>
      </c>
      <c r="K35" s="23">
        <v>27688695.680128094</v>
      </c>
      <c r="L35" s="23">
        <v>26958272.675007042</v>
      </c>
      <c r="M35" s="41">
        <f t="shared" ref="M35:M44" si="5">N35-SUM(B35:L35)</f>
        <v>38781151.536790252</v>
      </c>
      <c r="N35" s="22">
        <f>341202720+3168647+1192751</f>
        <v>345564118</v>
      </c>
      <c r="O35" s="23">
        <f>356898045+3485512+1312026</f>
        <v>361695583</v>
      </c>
      <c r="P35" s="25">
        <f>373315355+3834063+1443229</f>
        <v>378592647</v>
      </c>
      <c r="Q35" s="20"/>
      <c r="R35" s="20"/>
      <c r="S35" s="20"/>
      <c r="T35" s="20"/>
      <c r="U35" s="20"/>
      <c r="V35" s="20"/>
      <c r="W35" s="20"/>
    </row>
    <row r="36" spans="1:23" x14ac:dyDescent="0.25">
      <c r="A36" s="46" t="s">
        <v>23</v>
      </c>
      <c r="B36" s="22">
        <v>2305853.7388409106</v>
      </c>
      <c r="C36" s="23">
        <v>2304798.2676632418</v>
      </c>
      <c r="D36" s="23">
        <v>2314522.0102557358</v>
      </c>
      <c r="E36" s="23">
        <v>2302741.8917646529</v>
      </c>
      <c r="F36" s="23">
        <v>2301765.9317096742</v>
      </c>
      <c r="G36" s="23">
        <v>2304389.7987584425</v>
      </c>
      <c r="H36" s="23">
        <v>2301460.3595518856</v>
      </c>
      <c r="I36" s="23">
        <v>2471553.5790662589</v>
      </c>
      <c r="J36" s="23">
        <v>2433558.7353396975</v>
      </c>
      <c r="K36" s="23">
        <v>2417952.0118624307</v>
      </c>
      <c r="L36" s="23">
        <v>2457020.7530115256</v>
      </c>
      <c r="M36" s="41">
        <f t="shared" si="5"/>
        <v>3119365.9221755452</v>
      </c>
      <c r="N36" s="22">
        <f>28360883+674100</f>
        <v>29034983</v>
      </c>
      <c r="O36" s="23">
        <f>29665484+741510</f>
        <v>30406994</v>
      </c>
      <c r="P36" s="25">
        <f>31030096+815661</f>
        <v>31845757</v>
      </c>
      <c r="Q36" s="20"/>
      <c r="R36" s="20"/>
      <c r="S36" s="20"/>
      <c r="T36" s="20"/>
      <c r="U36" s="20"/>
      <c r="V36" s="20"/>
      <c r="W36" s="20"/>
    </row>
    <row r="37" spans="1:23" x14ac:dyDescent="0.25">
      <c r="A37" s="46" t="s">
        <v>24</v>
      </c>
      <c r="B37" s="22">
        <v>267515.40185906773</v>
      </c>
      <c r="C37" s="23">
        <v>266695.23168215418</v>
      </c>
      <c r="D37" s="23">
        <v>0</v>
      </c>
      <c r="E37" s="23">
        <v>1734759.5856508254</v>
      </c>
      <c r="F37" s="23">
        <v>3495384.2578014927</v>
      </c>
      <c r="G37" s="23">
        <v>1964827.6579970315</v>
      </c>
      <c r="H37" s="23">
        <v>756800.93660633441</v>
      </c>
      <c r="I37" s="23">
        <v>235806.7023774914</v>
      </c>
      <c r="J37" s="23">
        <v>757320.8616493945</v>
      </c>
      <c r="K37" s="23">
        <v>2611080.0349429864</v>
      </c>
      <c r="L37" s="23">
        <v>476361.21920930152</v>
      </c>
      <c r="M37" s="41">
        <f t="shared" si="5"/>
        <v>3162256.110223921</v>
      </c>
      <c r="N37" s="22">
        <f>15724284+4524</f>
        <v>15728808</v>
      </c>
      <c r="O37" s="23">
        <f>14905971+4976</f>
        <v>14910947</v>
      </c>
      <c r="P37" s="25">
        <f>13921267+5474</f>
        <v>13926741</v>
      </c>
      <c r="Q37" s="20"/>
      <c r="R37" s="20"/>
      <c r="S37" s="20"/>
      <c r="T37" s="20"/>
      <c r="U37" s="20"/>
      <c r="V37" s="20"/>
      <c r="W37" s="20"/>
    </row>
    <row r="38" spans="1:23" x14ac:dyDescent="0.25">
      <c r="A38" s="46" t="s">
        <v>25</v>
      </c>
      <c r="B38" s="22">
        <v>52394153.061136998</v>
      </c>
      <c r="C38" s="23">
        <v>50678618.123292446</v>
      </c>
      <c r="D38" s="23">
        <v>46731639.292461544</v>
      </c>
      <c r="E38" s="23">
        <v>30173395.341277435</v>
      </c>
      <c r="F38" s="23">
        <v>32838717.709728181</v>
      </c>
      <c r="G38" s="23">
        <v>31780082.988476384</v>
      </c>
      <c r="H38" s="23">
        <v>26397095.395899504</v>
      </c>
      <c r="I38" s="23">
        <v>29028367.248884235</v>
      </c>
      <c r="J38" s="23">
        <v>28780352.34820227</v>
      </c>
      <c r="K38" s="23">
        <v>27933961.554384772</v>
      </c>
      <c r="L38" s="23">
        <v>24261853.344278708</v>
      </c>
      <c r="M38" s="41">
        <f t="shared" si="5"/>
        <v>29001763.591977537</v>
      </c>
      <c r="N38" s="22">
        <v>410000000</v>
      </c>
      <c r="O38" s="23">
        <v>428860000</v>
      </c>
      <c r="P38" s="25">
        <v>448587560</v>
      </c>
      <c r="Q38" s="20"/>
      <c r="R38" s="20"/>
      <c r="S38" s="20"/>
      <c r="T38" s="20"/>
      <c r="U38" s="20"/>
      <c r="V38" s="20"/>
      <c r="W38" s="20"/>
    </row>
    <row r="39" spans="1:23" x14ac:dyDescent="0.25">
      <c r="A39" s="46" t="s">
        <v>26</v>
      </c>
      <c r="B39" s="22">
        <v>0</v>
      </c>
      <c r="C39" s="23">
        <v>0</v>
      </c>
      <c r="D39" s="23">
        <v>0</v>
      </c>
      <c r="E39" s="23">
        <v>0</v>
      </c>
      <c r="F39" s="23">
        <v>0</v>
      </c>
      <c r="G39" s="23">
        <v>0</v>
      </c>
      <c r="H39" s="23">
        <v>0</v>
      </c>
      <c r="I39" s="23">
        <v>0</v>
      </c>
      <c r="J39" s="23">
        <v>0</v>
      </c>
      <c r="K39" s="23">
        <v>0</v>
      </c>
      <c r="L39" s="23">
        <v>0</v>
      </c>
      <c r="M39" s="41">
        <f t="shared" si="5"/>
        <v>0</v>
      </c>
      <c r="N39" s="22"/>
      <c r="O39" s="23"/>
      <c r="P39" s="25"/>
      <c r="Q39" s="54"/>
      <c r="R39" s="20"/>
      <c r="S39" s="20"/>
      <c r="T39" s="20"/>
      <c r="U39" s="20"/>
      <c r="V39" s="20"/>
      <c r="W39" s="20"/>
    </row>
    <row r="40" spans="1:23" x14ac:dyDescent="0.25">
      <c r="A40" s="46" t="s">
        <v>27</v>
      </c>
      <c r="B40" s="22">
        <v>2053167.9378564586</v>
      </c>
      <c r="C40" s="23">
        <v>5023538.8841050183</v>
      </c>
      <c r="D40" s="23">
        <v>5633232.1528267162</v>
      </c>
      <c r="E40" s="23">
        <v>5907436.606074064</v>
      </c>
      <c r="F40" s="23">
        <v>4108441.4418106144</v>
      </c>
      <c r="G40" s="23">
        <v>948219.90189656056</v>
      </c>
      <c r="H40" s="23">
        <v>5712247.3427144876</v>
      </c>
      <c r="I40" s="23">
        <v>2113733.3815838574</v>
      </c>
      <c r="J40" s="23">
        <v>9769642.0740770921</v>
      </c>
      <c r="K40" s="23">
        <v>2715783.9479513704</v>
      </c>
      <c r="L40" s="23">
        <v>3015840.3315762402</v>
      </c>
      <c r="M40" s="41">
        <f t="shared" si="5"/>
        <v>9239800.9975275174</v>
      </c>
      <c r="N40" s="22">
        <f>56235585+5500</f>
        <v>56241085</v>
      </c>
      <c r="O40" s="23">
        <f>58822422+6050</f>
        <v>58828472</v>
      </c>
      <c r="P40" s="25">
        <f>61528253+6655</f>
        <v>61534908</v>
      </c>
      <c r="Q40" s="54"/>
      <c r="R40" s="20"/>
      <c r="S40" s="20"/>
      <c r="T40" s="20"/>
      <c r="U40" s="20"/>
      <c r="V40" s="20"/>
      <c r="W40" s="20"/>
    </row>
    <row r="41" spans="1:23" x14ac:dyDescent="0.25">
      <c r="A41" s="46" t="s">
        <v>28</v>
      </c>
      <c r="B41" s="22">
        <v>8943547.9341281839</v>
      </c>
      <c r="C41" s="23">
        <v>3541983.0205548625</v>
      </c>
      <c r="D41" s="23">
        <v>6543813.2281503333</v>
      </c>
      <c r="E41" s="23">
        <v>5272729.0256947922</v>
      </c>
      <c r="F41" s="23">
        <v>5023433.2685822276</v>
      </c>
      <c r="G41" s="23">
        <v>11469916.087217474</v>
      </c>
      <c r="H41" s="23">
        <v>5131309.9515269129</v>
      </c>
      <c r="I41" s="23">
        <v>2437142.4803705611</v>
      </c>
      <c r="J41" s="23">
        <v>7705670.469083732</v>
      </c>
      <c r="K41" s="23">
        <v>2104584.6532008811</v>
      </c>
      <c r="L41" s="23">
        <v>7141223.3703907868</v>
      </c>
      <c r="M41" s="41">
        <f t="shared" si="5"/>
        <v>5209855.5110992566</v>
      </c>
      <c r="N41" s="22">
        <f>69630401+894808</f>
        <v>70525209</v>
      </c>
      <c r="O41" s="23">
        <f>72833399+984289</f>
        <v>73817688</v>
      </c>
      <c r="P41" s="25">
        <f>76183736+1082718</f>
        <v>77266454</v>
      </c>
      <c r="Q41" s="20"/>
      <c r="R41" s="20"/>
      <c r="S41" s="20"/>
      <c r="T41" s="20"/>
      <c r="U41" s="20"/>
      <c r="V41" s="20"/>
      <c r="W41" s="20"/>
    </row>
    <row r="42" spans="1:23" x14ac:dyDescent="0.25">
      <c r="A42" s="46" t="s">
        <v>29</v>
      </c>
      <c r="B42" s="22">
        <v>0</v>
      </c>
      <c r="C42" s="23">
        <v>0</v>
      </c>
      <c r="D42" s="23">
        <v>0</v>
      </c>
      <c r="E42" s="23">
        <v>0</v>
      </c>
      <c r="F42" s="23">
        <v>0</v>
      </c>
      <c r="G42" s="23">
        <v>0</v>
      </c>
      <c r="H42" s="23">
        <v>0</v>
      </c>
      <c r="I42" s="23">
        <v>0</v>
      </c>
      <c r="J42" s="23">
        <v>0</v>
      </c>
      <c r="K42" s="23">
        <v>0</v>
      </c>
      <c r="L42" s="23">
        <v>0</v>
      </c>
      <c r="M42" s="41">
        <f t="shared" si="5"/>
        <v>0</v>
      </c>
      <c r="N42" s="22"/>
      <c r="O42" s="23"/>
      <c r="P42" s="25"/>
      <c r="Q42" s="20"/>
      <c r="R42" s="20"/>
      <c r="S42" s="20"/>
      <c r="T42" s="20"/>
      <c r="U42" s="20"/>
      <c r="V42" s="20"/>
      <c r="W42" s="20"/>
    </row>
    <row r="43" spans="1:23" x14ac:dyDescent="0.25">
      <c r="A43" s="46" t="s">
        <v>30</v>
      </c>
      <c r="B43" s="22">
        <v>144028.50158859853</v>
      </c>
      <c r="C43" s="23">
        <v>1286818.9869769432</v>
      </c>
      <c r="D43" s="23">
        <v>4973315.8583459463</v>
      </c>
      <c r="E43" s="23">
        <v>1636201.5426129792</v>
      </c>
      <c r="F43" s="23">
        <v>1684660.749364773</v>
      </c>
      <c r="G43" s="23">
        <v>2989937.7291585244</v>
      </c>
      <c r="H43" s="23">
        <v>719741.78277522349</v>
      </c>
      <c r="I43" s="23">
        <v>2914933.6823158027</v>
      </c>
      <c r="J43" s="23">
        <v>908365.79961239337</v>
      </c>
      <c r="K43" s="23">
        <v>3185932.7874935465</v>
      </c>
      <c r="L43" s="23">
        <v>5167381.2539692707</v>
      </c>
      <c r="M43" s="41">
        <f t="shared" si="5"/>
        <v>5307681.325786002</v>
      </c>
      <c r="N43" s="22">
        <v>30919000</v>
      </c>
      <c r="O43" s="23">
        <v>24197110</v>
      </c>
      <c r="P43" s="25">
        <v>24523577</v>
      </c>
      <c r="Q43" s="20"/>
      <c r="R43" s="20"/>
      <c r="S43" s="20"/>
      <c r="T43" s="20"/>
      <c r="U43" s="20"/>
      <c r="V43" s="20"/>
      <c r="W43" s="20"/>
    </row>
    <row r="44" spans="1:23" x14ac:dyDescent="0.25">
      <c r="A44" s="46" t="s">
        <v>31</v>
      </c>
      <c r="B44" s="22">
        <v>34635318.049876377</v>
      </c>
      <c r="C44" s="23">
        <v>10628186.409613471</v>
      </c>
      <c r="D44" s="23">
        <v>16993901.85852465</v>
      </c>
      <c r="E44" s="23">
        <v>20524753.110094558</v>
      </c>
      <c r="F44" s="23">
        <v>15653292.856584784</v>
      </c>
      <c r="G44" s="23">
        <v>20484468.333291892</v>
      </c>
      <c r="H44" s="23">
        <v>13643107.22830032</v>
      </c>
      <c r="I44" s="23">
        <v>14575602.3341907</v>
      </c>
      <c r="J44" s="23">
        <v>11260521.79665607</v>
      </c>
      <c r="K44" s="23">
        <v>34873510.048663802</v>
      </c>
      <c r="L44" s="23">
        <v>13891131.903018003</v>
      </c>
      <c r="M44" s="41">
        <f t="shared" si="5"/>
        <v>7731381.2711853683</v>
      </c>
      <c r="N44" s="22">
        <f>220868055.2-30000-3000-5939880</f>
        <v>214895175.19999999</v>
      </c>
      <c r="O44" s="23">
        <f>245890568.4-6534427</f>
        <v>239356141.40000001</v>
      </c>
      <c r="P44" s="25">
        <f>265669689.7-7187741</f>
        <v>258481948.69999999</v>
      </c>
      <c r="Q44" s="20"/>
      <c r="R44" s="20"/>
      <c r="S44" s="20"/>
      <c r="T44" s="20"/>
      <c r="U44" s="20"/>
      <c r="V44" s="20"/>
      <c r="W44" s="20"/>
    </row>
    <row r="45" spans="1:23" x14ac:dyDescent="0.25">
      <c r="A45" s="33" t="s">
        <v>21</v>
      </c>
      <c r="B45" s="34">
        <f t="shared" ref="B45:O45" si="6">SUM(B35:B44)</f>
        <v>129797633.72061424</v>
      </c>
      <c r="C45" s="35">
        <f t="shared" si="6"/>
        <v>99262001.209896863</v>
      </c>
      <c r="D45" s="35">
        <f t="shared" si="6"/>
        <v>110315180.61645083</v>
      </c>
      <c r="E45" s="35">
        <f t="shared" si="6"/>
        <v>97305602.507112935</v>
      </c>
      <c r="F45" s="35">
        <f t="shared" si="6"/>
        <v>91632051.950915113</v>
      </c>
      <c r="G45" s="35">
        <f t="shared" si="6"/>
        <v>99758481.403527722</v>
      </c>
      <c r="H45" s="35">
        <f t="shared" si="6"/>
        <v>86316587.089782327</v>
      </c>
      <c r="I45" s="35">
        <f t="shared" si="6"/>
        <v>81528329.879298329</v>
      </c>
      <c r="J45" s="35">
        <f t="shared" si="6"/>
        <v>88538667.986547455</v>
      </c>
      <c r="K45" s="35">
        <f t="shared" si="6"/>
        <v>103531500.71862787</v>
      </c>
      <c r="L45" s="35">
        <f t="shared" si="6"/>
        <v>83369084.850460872</v>
      </c>
      <c r="M45" s="36">
        <f t="shared" si="6"/>
        <v>101553256.26676539</v>
      </c>
      <c r="N45" s="34">
        <f>SUM(N35:N44)</f>
        <v>1172908378.2</v>
      </c>
      <c r="O45" s="35">
        <f t="shared" si="6"/>
        <v>1232072935.4000001</v>
      </c>
      <c r="P45" s="37">
        <f>SUM(P35:P44)</f>
        <v>1294759592.7</v>
      </c>
      <c r="Q45" s="20"/>
      <c r="R45" s="20"/>
      <c r="S45" s="20"/>
      <c r="T45" s="20"/>
      <c r="U45" s="20"/>
      <c r="V45" s="20"/>
      <c r="W45" s="20"/>
    </row>
    <row r="46" spans="1:23" x14ac:dyDescent="0.25">
      <c r="A46" s="38"/>
      <c r="B46" s="39"/>
      <c r="C46" s="40"/>
      <c r="D46" s="40"/>
      <c r="E46" s="40"/>
      <c r="F46" s="40"/>
      <c r="G46" s="40"/>
      <c r="H46" s="40"/>
      <c r="I46" s="40"/>
      <c r="J46" s="40"/>
      <c r="K46" s="40"/>
      <c r="L46" s="40"/>
      <c r="M46" s="41"/>
      <c r="N46" s="39"/>
      <c r="O46" s="40"/>
      <c r="P46" s="42"/>
      <c r="Q46" s="20"/>
      <c r="R46" s="20"/>
      <c r="S46" s="20"/>
      <c r="T46" s="20"/>
      <c r="U46" s="20"/>
      <c r="V46" s="20"/>
      <c r="W46" s="20"/>
    </row>
    <row r="47" spans="1:23" x14ac:dyDescent="0.25">
      <c r="A47" s="33" t="s">
        <v>32</v>
      </c>
      <c r="B47" s="39"/>
      <c r="C47" s="40"/>
      <c r="D47" s="40"/>
      <c r="E47" s="40"/>
      <c r="F47" s="40"/>
      <c r="G47" s="40"/>
      <c r="H47" s="40"/>
      <c r="I47" s="40"/>
      <c r="J47" s="40"/>
      <c r="K47" s="40"/>
      <c r="L47" s="40"/>
      <c r="M47" s="41"/>
      <c r="N47" s="39"/>
      <c r="O47" s="40"/>
      <c r="P47" s="42"/>
      <c r="Q47" s="20"/>
      <c r="R47" s="20"/>
      <c r="S47" s="20"/>
      <c r="T47" s="20"/>
      <c r="U47" s="20"/>
      <c r="V47" s="20"/>
      <c r="W47" s="20"/>
    </row>
    <row r="48" spans="1:23" x14ac:dyDescent="0.25">
      <c r="A48" s="46" t="str">
        <f>'[1]A7-CFlow'!A26</f>
        <v>Capital assets</v>
      </c>
      <c r="B48" s="22">
        <v>3595704.1858686511</v>
      </c>
      <c r="C48" s="23">
        <v>3401336.1991069359</v>
      </c>
      <c r="D48" s="23">
        <v>8307898.5801987825</v>
      </c>
      <c r="E48" s="23">
        <v>11871174.635251533</v>
      </c>
      <c r="F48" s="23">
        <v>14136348.740641283</v>
      </c>
      <c r="G48" s="23">
        <v>24415563.168234404</v>
      </c>
      <c r="H48" s="23">
        <v>376050.92060415156</v>
      </c>
      <c r="I48" s="23">
        <v>13418505.424091944</v>
      </c>
      <c r="J48" s="23">
        <v>16624297.404920723</v>
      </c>
      <c r="K48" s="23">
        <v>8785974.8099968545</v>
      </c>
      <c r="L48" s="23">
        <v>3868104.5813450497</v>
      </c>
      <c r="M48" s="41">
        <f>N48-SUM(B48:L48)</f>
        <v>20137091.349739671</v>
      </c>
      <c r="N48" s="22">
        <v>128938050</v>
      </c>
      <c r="O48" s="23">
        <v>105913700</v>
      </c>
      <c r="P48" s="25">
        <v>112090232</v>
      </c>
      <c r="Q48" s="20"/>
      <c r="R48" s="20"/>
      <c r="S48" s="20"/>
      <c r="T48" s="20"/>
      <c r="U48" s="20"/>
      <c r="V48" s="20"/>
      <c r="W48" s="20"/>
    </row>
    <row r="49" spans="1:23" x14ac:dyDescent="0.25">
      <c r="A49" s="46" t="str">
        <f>'[1]A7-CFlow'!A35</f>
        <v>Repayment of borrowing</v>
      </c>
      <c r="B49" s="22">
        <v>156401.38</v>
      </c>
      <c r="C49" s="23">
        <v>157298.01</v>
      </c>
      <c r="D49" s="23">
        <v>1283212.29</v>
      </c>
      <c r="E49" s="23">
        <v>164314.46</v>
      </c>
      <c r="F49" s="23">
        <v>160078.57</v>
      </c>
      <c r="G49" s="23">
        <v>2217905.1817748384</v>
      </c>
      <c r="H49" s="23">
        <v>172095.5</v>
      </c>
      <c r="I49" s="23">
        <v>178074.76</v>
      </c>
      <c r="J49" s="23">
        <v>1368353.1099999999</v>
      </c>
      <c r="K49" s="23">
        <v>169803.82</v>
      </c>
      <c r="L49" s="23">
        <v>165782.37</v>
      </c>
      <c r="M49" s="41">
        <f>N49-SUM(B49:L49)</f>
        <v>2916372.2470715949</v>
      </c>
      <c r="N49" s="22">
        <v>9109691.6988464333</v>
      </c>
      <c r="O49" s="23">
        <v>11648068.550696159</v>
      </c>
      <c r="P49" s="25">
        <v>13921265.210138457</v>
      </c>
      <c r="Q49" s="20"/>
      <c r="R49" s="20"/>
      <c r="S49" s="20"/>
      <c r="T49" s="20"/>
      <c r="U49" s="20"/>
      <c r="V49" s="20"/>
      <c r="W49" s="20"/>
    </row>
    <row r="50" spans="1:23" x14ac:dyDescent="0.25">
      <c r="A50" s="46" t="str">
        <f>LEFT(A47,25)</f>
        <v>Other Cash Flows/Payments</v>
      </c>
      <c r="B50" s="22"/>
      <c r="C50" s="23"/>
      <c r="D50" s="23"/>
      <c r="E50" s="23"/>
      <c r="F50" s="23"/>
      <c r="G50" s="23"/>
      <c r="H50" s="23"/>
      <c r="I50" s="23"/>
      <c r="J50" s="23"/>
      <c r="K50" s="23"/>
      <c r="L50" s="23"/>
      <c r="M50" s="41">
        <f>N50-SUM(B50:L50)</f>
        <v>0</v>
      </c>
      <c r="N50" s="22"/>
      <c r="O50" s="23"/>
      <c r="P50" s="25"/>
      <c r="Q50" s="20"/>
      <c r="R50" s="20"/>
      <c r="S50" s="20"/>
      <c r="T50" s="20"/>
      <c r="U50" s="20"/>
      <c r="V50" s="20"/>
      <c r="W50" s="20"/>
    </row>
    <row r="51" spans="1:23" x14ac:dyDescent="0.25">
      <c r="A51" s="47" t="s">
        <v>33</v>
      </c>
      <c r="B51" s="48">
        <f>SUM(B45:B50)</f>
        <v>133549739.28648289</v>
      </c>
      <c r="C51" s="49">
        <f t="shared" ref="C51:P51" si="7">SUM(C45:C50)</f>
        <v>102820635.4190038</v>
      </c>
      <c r="D51" s="49">
        <f t="shared" si="7"/>
        <v>119906291.48664962</v>
      </c>
      <c r="E51" s="49">
        <f t="shared" si="7"/>
        <v>109341091.60236447</v>
      </c>
      <c r="F51" s="49">
        <f t="shared" si="7"/>
        <v>105928479.26155639</v>
      </c>
      <c r="G51" s="49">
        <f t="shared" si="7"/>
        <v>126391949.75353697</v>
      </c>
      <c r="H51" s="49">
        <f t="shared" si="7"/>
        <v>86864733.510386482</v>
      </c>
      <c r="I51" s="49">
        <f t="shared" si="7"/>
        <v>95124910.063390285</v>
      </c>
      <c r="J51" s="49">
        <f t="shared" si="7"/>
        <v>106531318.50146818</v>
      </c>
      <c r="K51" s="49">
        <f t="shared" si="7"/>
        <v>112487279.34862472</v>
      </c>
      <c r="L51" s="49">
        <f t="shared" si="7"/>
        <v>87402971.801805928</v>
      </c>
      <c r="M51" s="55">
        <f t="shared" si="7"/>
        <v>124606719.86357665</v>
      </c>
      <c r="N51" s="48">
        <f t="shared" si="7"/>
        <v>1310956119.8988464</v>
      </c>
      <c r="O51" s="49">
        <f t="shared" si="7"/>
        <v>1349634703.9506962</v>
      </c>
      <c r="P51" s="50">
        <f t="shared" si="7"/>
        <v>1420771089.9101386</v>
      </c>
      <c r="Q51" s="20"/>
      <c r="R51" s="56" t="s">
        <v>34</v>
      </c>
      <c r="S51" s="20"/>
      <c r="T51" s="20"/>
      <c r="U51" s="20"/>
      <c r="V51" s="20"/>
      <c r="W51" s="20"/>
    </row>
    <row r="52" spans="1:23" x14ac:dyDescent="0.25">
      <c r="A52" s="38"/>
      <c r="B52" s="39"/>
      <c r="C52" s="40"/>
      <c r="D52" s="40"/>
      <c r="E52" s="40"/>
      <c r="F52" s="40"/>
      <c r="G52" s="40"/>
      <c r="H52" s="40"/>
      <c r="I52" s="40"/>
      <c r="J52" s="40"/>
      <c r="K52" s="40"/>
      <c r="L52" s="40"/>
      <c r="M52" s="41"/>
      <c r="N52" s="39"/>
      <c r="O52" s="40"/>
      <c r="P52" s="42"/>
      <c r="Q52" s="20"/>
      <c r="R52" s="20"/>
      <c r="S52" s="20"/>
      <c r="T52" s="20"/>
      <c r="U52" s="20"/>
      <c r="V52" s="20"/>
      <c r="W52" s="20"/>
    </row>
    <row r="53" spans="1:23" s="66" customFormat="1" ht="13.5" thickBot="1" x14ac:dyDescent="0.3">
      <c r="A53" s="57" t="s">
        <v>35</v>
      </c>
      <c r="B53" s="58">
        <f t="shared" ref="B53:P53" si="8">B32-B51</f>
        <v>130049810.08456548</v>
      </c>
      <c r="C53" s="59">
        <f t="shared" si="8"/>
        <v>-42844765.253117025</v>
      </c>
      <c r="D53" s="59">
        <f t="shared" si="8"/>
        <v>-54505184.450313471</v>
      </c>
      <c r="E53" s="59">
        <f t="shared" si="8"/>
        <v>-41485437.874365568</v>
      </c>
      <c r="F53" s="59">
        <f t="shared" si="8"/>
        <v>100230726.25452432</v>
      </c>
      <c r="G53" s="59">
        <f t="shared" si="8"/>
        <v>-7653202.7779797912</v>
      </c>
      <c r="H53" s="59">
        <f t="shared" si="8"/>
        <v>-24969329.058611974</v>
      </c>
      <c r="I53" s="59">
        <f t="shared" si="8"/>
        <v>-31056435.642885141</v>
      </c>
      <c r="J53" s="59">
        <f t="shared" si="8"/>
        <v>103400414.79849285</v>
      </c>
      <c r="K53" s="59">
        <f t="shared" si="8"/>
        <v>-52896504.204227977</v>
      </c>
      <c r="L53" s="59">
        <f t="shared" si="8"/>
        <v>-17994733.519145951</v>
      </c>
      <c r="M53" s="60">
        <f t="shared" si="8"/>
        <v>-59275358.455782093</v>
      </c>
      <c r="N53" s="58">
        <f t="shared" si="8"/>
        <v>999999.90115356445</v>
      </c>
      <c r="O53" s="59">
        <f t="shared" si="8"/>
        <v>999999.94930386543</v>
      </c>
      <c r="P53" s="61">
        <f t="shared" si="8"/>
        <v>999999.98986148834</v>
      </c>
      <c r="Q53" s="62"/>
      <c r="R53" s="63"/>
      <c r="S53" s="64"/>
      <c r="T53" s="65"/>
      <c r="U53" s="65"/>
      <c r="V53" s="65"/>
      <c r="W53" s="65"/>
    </row>
    <row r="54" spans="1:23" x14ac:dyDescent="0.25">
      <c r="A54" s="38" t="s">
        <v>36</v>
      </c>
      <c r="B54" s="67">
        <v>43000000</v>
      </c>
      <c r="C54" s="68">
        <f>B55</f>
        <v>173049810.08456546</v>
      </c>
      <c r="D54" s="68">
        <f t="shared" ref="D54:M54" si="9">C55</f>
        <v>130205044.83144844</v>
      </c>
      <c r="E54" s="68">
        <f t="shared" si="9"/>
        <v>75699860.381134957</v>
      </c>
      <c r="F54" s="68">
        <f t="shared" si="9"/>
        <v>34214422.506769389</v>
      </c>
      <c r="G54" s="68">
        <f t="shared" si="9"/>
        <v>134445148.76129371</v>
      </c>
      <c r="H54" s="68">
        <f t="shared" si="9"/>
        <v>126791945.98331392</v>
      </c>
      <c r="I54" s="68">
        <f t="shared" si="9"/>
        <v>101822616.92470194</v>
      </c>
      <c r="J54" s="68">
        <f t="shared" si="9"/>
        <v>70766181.28181681</v>
      </c>
      <c r="K54" s="68">
        <f t="shared" si="9"/>
        <v>174166596.08030966</v>
      </c>
      <c r="L54" s="68">
        <f t="shared" si="9"/>
        <v>121270091.87608168</v>
      </c>
      <c r="M54" s="69">
        <f t="shared" si="9"/>
        <v>103275358.35693572</v>
      </c>
      <c r="N54" s="70">
        <f>B54</f>
        <v>43000000</v>
      </c>
      <c r="O54" s="68">
        <f>N55</f>
        <v>43999999.901153564</v>
      </c>
      <c r="P54" s="71">
        <f>O55</f>
        <v>44999999.85045743</v>
      </c>
      <c r="Q54" s="20"/>
      <c r="R54" s="20"/>
      <c r="S54" s="20"/>
      <c r="T54" s="20"/>
      <c r="U54" s="20"/>
      <c r="V54" s="20"/>
      <c r="W54" s="20"/>
    </row>
    <row r="55" spans="1:23" x14ac:dyDescent="0.25">
      <c r="A55" s="72" t="s">
        <v>37</v>
      </c>
      <c r="B55" s="73">
        <f>B54+B53</f>
        <v>173049810.08456546</v>
      </c>
      <c r="C55" s="74">
        <f>C54+C53</f>
        <v>130205044.83144844</v>
      </c>
      <c r="D55" s="74">
        <f t="shared" ref="D55:P55" si="10">D54+D53</f>
        <v>75699860.381134957</v>
      </c>
      <c r="E55" s="74">
        <f t="shared" si="10"/>
        <v>34214422.506769389</v>
      </c>
      <c r="F55" s="74">
        <f t="shared" si="10"/>
        <v>134445148.76129371</v>
      </c>
      <c r="G55" s="74">
        <f t="shared" si="10"/>
        <v>126791945.98331392</v>
      </c>
      <c r="H55" s="74">
        <f t="shared" si="10"/>
        <v>101822616.92470194</v>
      </c>
      <c r="I55" s="74">
        <f t="shared" si="10"/>
        <v>70766181.28181681</v>
      </c>
      <c r="J55" s="74">
        <f t="shared" si="10"/>
        <v>174166596.08030966</v>
      </c>
      <c r="K55" s="74">
        <f t="shared" si="10"/>
        <v>121270091.87608168</v>
      </c>
      <c r="L55" s="74">
        <f t="shared" si="10"/>
        <v>103275358.35693572</v>
      </c>
      <c r="M55" s="75">
        <f t="shared" si="10"/>
        <v>43999999.901153632</v>
      </c>
      <c r="N55" s="76">
        <f t="shared" si="10"/>
        <v>43999999.901153564</v>
      </c>
      <c r="O55" s="74">
        <f t="shared" si="10"/>
        <v>44999999.85045743</v>
      </c>
      <c r="P55" s="77">
        <f t="shared" si="10"/>
        <v>45999999.840318918</v>
      </c>
      <c r="Q55" s="20"/>
      <c r="R55" s="20"/>
      <c r="S55" s="20"/>
      <c r="T55" s="20"/>
      <c r="U55" s="20"/>
      <c r="V55" s="20"/>
      <c r="W55" s="20"/>
    </row>
    <row r="56" spans="1:23" x14ac:dyDescent="0.25">
      <c r="A56" s="78" t="str">
        <f>head27a</f>
        <v>References</v>
      </c>
      <c r="B56" s="20"/>
      <c r="C56" s="20"/>
      <c r="D56" s="20"/>
      <c r="E56" s="20"/>
      <c r="F56" s="20"/>
      <c r="G56" s="20"/>
      <c r="H56" s="20"/>
      <c r="I56" s="20"/>
      <c r="J56" s="20"/>
      <c r="K56" s="20"/>
      <c r="L56" s="20"/>
      <c r="M56" s="20"/>
      <c r="N56" s="20"/>
      <c r="O56" s="20"/>
      <c r="P56" s="20"/>
      <c r="Q56" s="20"/>
      <c r="R56" s="20"/>
      <c r="S56" s="20"/>
      <c r="T56" s="20"/>
      <c r="U56" s="20"/>
      <c r="V56" s="20"/>
      <c r="W56" s="20"/>
    </row>
    <row r="57" spans="1:23" x14ac:dyDescent="0.25">
      <c r="A57" s="79" t="s">
        <v>38</v>
      </c>
      <c r="B57" s="79"/>
      <c r="C57" s="79"/>
      <c r="D57" s="79"/>
      <c r="E57" s="79"/>
      <c r="F57" s="79"/>
      <c r="G57" s="79"/>
      <c r="H57" s="79"/>
      <c r="I57" s="79"/>
      <c r="J57" s="79"/>
      <c r="K57" s="79"/>
      <c r="L57" s="79"/>
      <c r="M57" s="79"/>
      <c r="N57" s="79"/>
      <c r="O57" s="79"/>
      <c r="P57" s="79"/>
      <c r="Q57" s="20"/>
      <c r="R57" s="20"/>
      <c r="S57" s="20"/>
      <c r="T57" s="20"/>
      <c r="U57" s="20"/>
      <c r="V57" s="20"/>
      <c r="W57" s="20"/>
    </row>
    <row r="58" spans="1:23" x14ac:dyDescent="0.25">
      <c r="A58" s="20"/>
      <c r="B58" s="20"/>
      <c r="C58" s="20"/>
      <c r="D58" s="20"/>
      <c r="E58" s="20"/>
      <c r="F58" s="20"/>
      <c r="G58" s="20"/>
      <c r="H58" s="20"/>
      <c r="I58" s="20"/>
      <c r="J58" s="20"/>
      <c r="K58" s="20"/>
      <c r="L58" s="20"/>
      <c r="M58" s="20"/>
      <c r="N58" s="20"/>
      <c r="O58" s="20"/>
      <c r="P58" s="20"/>
      <c r="Q58" s="20"/>
      <c r="R58" s="20"/>
      <c r="S58" s="20"/>
      <c r="T58" s="20"/>
      <c r="U58" s="20"/>
      <c r="V58" s="20"/>
      <c r="W58" s="20"/>
    </row>
    <row r="59" spans="1:23" x14ac:dyDescent="0.25">
      <c r="A59" s="20"/>
      <c r="B59" s="20"/>
      <c r="C59" s="20"/>
      <c r="D59" s="20"/>
      <c r="E59" s="20"/>
      <c r="F59" s="20"/>
      <c r="G59" s="20"/>
      <c r="H59" s="20"/>
      <c r="I59" s="20"/>
      <c r="J59" s="20"/>
      <c r="K59" s="20"/>
      <c r="L59" s="20"/>
      <c r="M59" s="20"/>
      <c r="N59" s="20"/>
      <c r="O59" s="20"/>
      <c r="P59" s="20"/>
      <c r="Q59" s="20"/>
      <c r="R59" s="20"/>
      <c r="S59" s="20"/>
      <c r="T59" s="20"/>
      <c r="U59" s="20"/>
      <c r="V59" s="20"/>
      <c r="W59" s="20"/>
    </row>
    <row r="60" spans="1:23" x14ac:dyDescent="0.25">
      <c r="A60" s="20"/>
      <c r="B60" s="20"/>
      <c r="C60" s="20"/>
      <c r="D60" s="20"/>
      <c r="E60" s="20"/>
      <c r="F60" s="20"/>
      <c r="G60" s="20"/>
      <c r="H60" s="20"/>
      <c r="I60" s="20"/>
      <c r="J60" s="20"/>
      <c r="K60" s="20"/>
      <c r="L60" s="20"/>
      <c r="M60" s="20"/>
      <c r="N60" s="20"/>
      <c r="O60" s="20"/>
      <c r="P60" s="20"/>
      <c r="Q60" s="20"/>
      <c r="R60" s="20"/>
      <c r="S60" s="20"/>
      <c r="T60" s="20"/>
      <c r="U60" s="20"/>
      <c r="V60" s="20"/>
      <c r="W60" s="20"/>
    </row>
    <row r="61" spans="1:23" x14ac:dyDescent="0.25">
      <c r="A61" s="20"/>
      <c r="B61" s="20"/>
      <c r="C61" s="20"/>
      <c r="D61" s="20"/>
      <c r="E61" s="80"/>
      <c r="F61" s="80"/>
      <c r="G61" s="80"/>
      <c r="H61" s="80"/>
      <c r="I61" s="80"/>
      <c r="J61" s="80"/>
      <c r="K61" s="80"/>
      <c r="L61" s="80"/>
      <c r="M61" s="80"/>
      <c r="N61" s="20"/>
      <c r="O61" s="20"/>
      <c r="P61" s="20"/>
      <c r="Q61" s="20"/>
      <c r="R61" s="20"/>
      <c r="S61" s="20"/>
      <c r="T61" s="20"/>
      <c r="U61" s="20"/>
      <c r="V61" s="20"/>
      <c r="W61" s="20"/>
    </row>
    <row r="62" spans="1:23" x14ac:dyDescent="0.25">
      <c r="A62" s="20"/>
      <c r="B62" s="20"/>
      <c r="C62" s="20"/>
      <c r="D62" s="20"/>
      <c r="E62" s="54">
        <f t="shared" ref="E62:P62" si="11">E45+E61</f>
        <v>97305602.507112935</v>
      </c>
      <c r="F62" s="54">
        <f t="shared" si="11"/>
        <v>91632051.950915113</v>
      </c>
      <c r="G62" s="54">
        <f t="shared" si="11"/>
        <v>99758481.403527722</v>
      </c>
      <c r="H62" s="54">
        <f t="shared" si="11"/>
        <v>86316587.089782327</v>
      </c>
      <c r="I62" s="54">
        <f t="shared" si="11"/>
        <v>81528329.879298329</v>
      </c>
      <c r="J62" s="54">
        <f t="shared" si="11"/>
        <v>88538667.986547455</v>
      </c>
      <c r="K62" s="54">
        <f t="shared" si="11"/>
        <v>103531500.71862787</v>
      </c>
      <c r="L62" s="54">
        <f t="shared" si="11"/>
        <v>83369084.850460872</v>
      </c>
      <c r="M62" s="54">
        <f t="shared" si="11"/>
        <v>101553256.26676539</v>
      </c>
      <c r="N62" s="54">
        <f t="shared" si="11"/>
        <v>1172908378.2</v>
      </c>
      <c r="O62" s="54">
        <f t="shared" si="11"/>
        <v>1232072935.4000001</v>
      </c>
      <c r="P62" s="54">
        <f t="shared" si="11"/>
        <v>1294759592.7</v>
      </c>
      <c r="Q62" s="20"/>
      <c r="R62" s="20"/>
      <c r="S62" s="20"/>
      <c r="T62" s="20"/>
      <c r="U62" s="20"/>
      <c r="V62" s="20"/>
      <c r="W62" s="20"/>
    </row>
    <row r="63" spans="1:23" x14ac:dyDescent="0.25">
      <c r="A63" s="20"/>
      <c r="B63" s="20"/>
      <c r="C63" s="20"/>
      <c r="D63" s="20"/>
      <c r="E63" s="54">
        <f t="shared" ref="E63:P63" si="12">E53-E61</f>
        <v>-41485437.874365568</v>
      </c>
      <c r="F63" s="54">
        <f t="shared" si="12"/>
        <v>100230726.25452432</v>
      </c>
      <c r="G63" s="54">
        <f t="shared" si="12"/>
        <v>-7653202.7779797912</v>
      </c>
      <c r="H63" s="54">
        <f t="shared" si="12"/>
        <v>-24969329.058611974</v>
      </c>
      <c r="I63" s="54">
        <f t="shared" si="12"/>
        <v>-31056435.642885141</v>
      </c>
      <c r="J63" s="54">
        <f t="shared" si="12"/>
        <v>103400414.79849285</v>
      </c>
      <c r="K63" s="54">
        <f t="shared" si="12"/>
        <v>-52896504.204227977</v>
      </c>
      <c r="L63" s="54">
        <f t="shared" si="12"/>
        <v>-17994733.519145951</v>
      </c>
      <c r="M63" s="54">
        <f t="shared" si="12"/>
        <v>-59275358.455782093</v>
      </c>
      <c r="N63" s="54">
        <f t="shared" si="12"/>
        <v>999999.90115356445</v>
      </c>
      <c r="O63" s="54">
        <f t="shared" si="12"/>
        <v>999999.94930386543</v>
      </c>
      <c r="P63" s="54">
        <f t="shared" si="12"/>
        <v>999999.98986148834</v>
      </c>
      <c r="Q63" s="20"/>
      <c r="R63" s="20"/>
      <c r="S63" s="20"/>
      <c r="T63" s="20"/>
      <c r="U63" s="20"/>
      <c r="V63" s="20"/>
      <c r="W63" s="20"/>
    </row>
    <row r="64" spans="1:23" x14ac:dyDescent="0.25">
      <c r="A64" s="20"/>
      <c r="B64" s="20"/>
      <c r="C64" s="20"/>
      <c r="D64" s="20"/>
      <c r="E64" s="20"/>
      <c r="F64" s="20"/>
      <c r="G64" s="20"/>
      <c r="H64" s="20"/>
      <c r="I64" s="20"/>
      <c r="J64" s="20"/>
      <c r="K64" s="20"/>
      <c r="L64" s="20"/>
      <c r="M64" s="20"/>
      <c r="N64" s="20"/>
      <c r="O64" s="20"/>
      <c r="P64" s="20"/>
      <c r="Q64" s="20"/>
      <c r="R64" s="20"/>
      <c r="S64" s="20"/>
      <c r="T64" s="20"/>
      <c r="U64" s="20"/>
      <c r="V64" s="20"/>
      <c r="W64" s="20"/>
    </row>
    <row r="65" spans="1:23" x14ac:dyDescent="0.25">
      <c r="A65" s="20"/>
      <c r="B65" s="20"/>
      <c r="C65" s="20"/>
      <c r="D65" s="20"/>
      <c r="E65" s="20"/>
      <c r="F65" s="20"/>
      <c r="G65" s="20"/>
      <c r="H65" s="20"/>
      <c r="I65" s="20"/>
      <c r="J65" s="20"/>
      <c r="K65" s="20"/>
      <c r="L65" s="20"/>
      <c r="M65" s="20"/>
      <c r="N65" s="20"/>
      <c r="O65" s="20"/>
      <c r="P65" s="20"/>
      <c r="Q65" s="20"/>
      <c r="R65" s="20"/>
      <c r="S65" s="20"/>
      <c r="T65" s="20"/>
      <c r="U65" s="20"/>
      <c r="V65" s="20"/>
      <c r="W65" s="20"/>
    </row>
    <row r="66" spans="1:23" x14ac:dyDescent="0.25">
      <c r="A66" s="20"/>
      <c r="B66" s="20"/>
      <c r="C66" s="20"/>
      <c r="D66" s="20"/>
      <c r="E66" s="20"/>
      <c r="F66" s="20"/>
      <c r="G66" s="20"/>
      <c r="H66" s="20"/>
      <c r="I66" s="20"/>
      <c r="J66" s="20"/>
      <c r="K66" s="20"/>
      <c r="L66" s="20"/>
      <c r="M66" s="20"/>
      <c r="N66" s="20"/>
      <c r="O66" s="20"/>
      <c r="P66" s="20"/>
      <c r="Q66" s="20"/>
      <c r="R66" s="20"/>
      <c r="S66" s="20"/>
      <c r="T66" s="20"/>
      <c r="U66" s="20"/>
      <c r="V66" s="20"/>
      <c r="W66" s="20"/>
    </row>
    <row r="67" spans="1:23" x14ac:dyDescent="0.25">
      <c r="A67" s="20"/>
      <c r="B67" s="20"/>
      <c r="C67" s="20"/>
      <c r="D67" s="20"/>
      <c r="E67" s="20"/>
      <c r="F67" s="20"/>
      <c r="G67" s="20"/>
      <c r="H67" s="20"/>
      <c r="I67" s="20"/>
      <c r="J67" s="20"/>
      <c r="K67" s="20"/>
      <c r="L67" s="20"/>
      <c r="M67" s="20"/>
      <c r="N67" s="20"/>
      <c r="O67" s="20"/>
      <c r="P67" s="20"/>
      <c r="Q67" s="20"/>
      <c r="R67" s="20"/>
      <c r="S67" s="20"/>
      <c r="T67" s="20"/>
      <c r="U67" s="20"/>
      <c r="V67" s="20"/>
      <c r="W67" s="20"/>
    </row>
    <row r="68" spans="1:23" x14ac:dyDescent="0.25">
      <c r="A68" s="20"/>
      <c r="B68" s="20"/>
      <c r="C68" s="20"/>
      <c r="D68" s="20"/>
      <c r="E68" s="20"/>
      <c r="F68" s="20"/>
      <c r="G68" s="20"/>
      <c r="H68" s="20"/>
      <c r="I68" s="20"/>
      <c r="J68" s="20"/>
      <c r="K68" s="20"/>
      <c r="L68" s="20"/>
      <c r="M68" s="20"/>
      <c r="N68" s="20"/>
      <c r="O68" s="20"/>
      <c r="P68" s="20"/>
      <c r="Q68" s="20"/>
      <c r="R68" s="20"/>
      <c r="S68" s="20"/>
      <c r="T68" s="20"/>
      <c r="U68" s="20"/>
      <c r="V68" s="20"/>
      <c r="W68" s="20"/>
    </row>
    <row r="188" spans="2:44" x14ac:dyDescent="0.25">
      <c r="B188" s="81"/>
      <c r="C188" s="81"/>
      <c r="D188" s="81"/>
      <c r="E188" s="81"/>
      <c r="F188" s="81"/>
      <c r="G188" s="81"/>
      <c r="H188" s="81"/>
      <c r="I188" s="81"/>
      <c r="J188" s="81"/>
      <c r="K188" s="81"/>
      <c r="L188" s="81"/>
      <c r="N188" s="82"/>
      <c r="O188" s="82"/>
      <c r="P188" s="82"/>
      <c r="Q188" s="82"/>
      <c r="R188" s="82"/>
      <c r="S188" s="82"/>
      <c r="AH188" s="82"/>
      <c r="AI188" s="82"/>
      <c r="AJ188" s="82"/>
      <c r="AK188" s="82"/>
      <c r="AL188" s="82"/>
      <c r="AM188" s="82"/>
      <c r="AN188" s="82"/>
      <c r="AO188" s="82"/>
      <c r="AP188" s="82"/>
      <c r="AQ188" s="82"/>
      <c r="AR188" s="82"/>
    </row>
    <row r="189" spans="2:44" x14ac:dyDescent="0.25">
      <c r="N189" s="82"/>
      <c r="O189" s="82"/>
      <c r="P189" s="82"/>
      <c r="Q189" s="82"/>
      <c r="R189" s="82"/>
      <c r="S189" s="82"/>
      <c r="AH189" s="82"/>
      <c r="AI189" s="82"/>
      <c r="AJ189" s="82"/>
      <c r="AK189" s="82"/>
      <c r="AL189" s="82"/>
      <c r="AM189" s="82"/>
      <c r="AN189" s="82"/>
      <c r="AO189" s="82"/>
      <c r="AP189" s="82"/>
      <c r="AQ189" s="82"/>
      <c r="AR189" s="82"/>
    </row>
    <row r="190" spans="2:44" x14ac:dyDescent="0.25">
      <c r="N190" s="82"/>
      <c r="O190" s="82"/>
      <c r="P190" s="82"/>
      <c r="Q190" s="82"/>
      <c r="R190" s="82"/>
      <c r="S190" s="82"/>
      <c r="AH190" s="82"/>
      <c r="AI190" s="82"/>
      <c r="AJ190" s="82"/>
      <c r="AK190" s="82"/>
      <c r="AL190" s="82"/>
      <c r="AM190" s="82"/>
      <c r="AN190" s="82"/>
      <c r="AO190" s="82"/>
      <c r="AP190" s="82"/>
      <c r="AQ190" s="82"/>
      <c r="AR190" s="82"/>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Mathebula</dc:creator>
  <cp:lastModifiedBy>Arnold Mathebula</cp:lastModifiedBy>
  <dcterms:created xsi:type="dcterms:W3CDTF">2020-05-18T08:46:03Z</dcterms:created>
  <dcterms:modified xsi:type="dcterms:W3CDTF">2020-05-18T08:46:41Z</dcterms:modified>
</cp:coreProperties>
</file>